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 defaultThemeVersion="124226"/>
  <bookViews>
    <workbookView xWindow="0" yWindow="0" windowWidth="19200" windowHeight="7350"/>
  </bookViews>
  <sheets>
    <sheet name="Меню лето" sheetId="2" r:id="rId1"/>
    <sheet name="Сырьё лето" sheetId="3" r:id="rId2"/>
  </sheets>
  <calcPr calcId="162913"/>
</workbook>
</file>

<file path=xl/calcChain.xml><?xml version="1.0" encoding="utf-8"?>
<calcChain xmlns="http://schemas.openxmlformats.org/spreadsheetml/2006/main">
  <c r="F104" i="2"/>
  <c r="E104"/>
  <c r="D104"/>
  <c r="F93"/>
  <c r="E93"/>
  <c r="D93"/>
  <c r="F84"/>
  <c r="E84"/>
  <c r="D84"/>
  <c r="F71"/>
  <c r="E71"/>
  <c r="D71"/>
  <c r="F61"/>
  <c r="E61"/>
  <c r="D61"/>
  <c r="F49"/>
  <c r="E49"/>
  <c r="D49"/>
  <c r="E113" i="3"/>
  <c r="D112"/>
  <c r="F112"/>
  <c r="G112"/>
  <c r="H112"/>
  <c r="I112"/>
  <c r="J112"/>
  <c r="K112"/>
  <c r="L112"/>
  <c r="M112"/>
  <c r="N112"/>
  <c r="O112"/>
  <c r="P112"/>
  <c r="Q112"/>
  <c r="R112"/>
  <c r="S112"/>
  <c r="T112"/>
  <c r="U112"/>
  <c r="V112"/>
  <c r="W112"/>
  <c r="X112"/>
  <c r="Y112"/>
  <c r="Z112"/>
  <c r="AA112"/>
  <c r="AB112"/>
  <c r="AC112"/>
  <c r="AD112"/>
  <c r="AE112"/>
  <c r="AF112"/>
  <c r="AG112"/>
  <c r="F20" i="2"/>
  <c r="E20"/>
  <c r="D20"/>
  <c r="F94"/>
  <c r="E94"/>
  <c r="D94"/>
  <c r="F105"/>
  <c r="E105"/>
  <c r="D105"/>
  <c r="F85"/>
  <c r="E85"/>
  <c r="D85"/>
  <c r="G84" l="1"/>
  <c r="G61"/>
  <c r="G71"/>
  <c r="G93"/>
  <c r="G104"/>
  <c r="Q37"/>
  <c r="P37"/>
  <c r="O37"/>
  <c r="N37"/>
  <c r="M37"/>
  <c r="J37"/>
  <c r="F37"/>
  <c r="E37"/>
  <c r="D37"/>
  <c r="W40" i="3"/>
  <c r="R40"/>
  <c r="I40"/>
  <c r="G29"/>
  <c r="F59" i="2" l="1"/>
  <c r="G100"/>
  <c r="G101"/>
  <c r="G102"/>
  <c r="G103"/>
  <c r="G105"/>
  <c r="G99"/>
  <c r="G91"/>
  <c r="G92"/>
  <c r="G94"/>
  <c r="G90"/>
  <c r="G79"/>
  <c r="G80"/>
  <c r="G81"/>
  <c r="G82"/>
  <c r="G83"/>
  <c r="G85"/>
  <c r="G78"/>
  <c r="G68"/>
  <c r="G69"/>
  <c r="G70"/>
  <c r="G72"/>
  <c r="G73"/>
  <c r="G67"/>
  <c r="G56"/>
  <c r="G47"/>
  <c r="G48"/>
  <c r="G49"/>
  <c r="G50"/>
  <c r="G51"/>
  <c r="G46"/>
  <c r="G37"/>
  <c r="G38"/>
  <c r="G40"/>
  <c r="G41"/>
  <c r="G36"/>
  <c r="G16"/>
  <c r="G17"/>
  <c r="G18"/>
  <c r="G19"/>
  <c r="G20"/>
  <c r="G15"/>
  <c r="G26"/>
  <c r="G27"/>
  <c r="G28"/>
  <c r="G29"/>
  <c r="G30"/>
  <c r="G31"/>
  <c r="G25"/>
  <c r="G7"/>
  <c r="G8"/>
  <c r="G9"/>
  <c r="G10"/>
  <c r="G6"/>
  <c r="F151" i="3" l="1"/>
  <c r="I151" s="1"/>
  <c r="E151"/>
  <c r="H151" s="1"/>
  <c r="AG113" s="1"/>
  <c r="F150"/>
  <c r="I150" s="1"/>
  <c r="E150"/>
  <c r="H150" s="1"/>
  <c r="AF113" s="1"/>
  <c r="F149"/>
  <c r="I149" s="1"/>
  <c r="E149"/>
  <c r="H149" s="1"/>
  <c r="AE113" s="1"/>
  <c r="F148"/>
  <c r="I148" s="1"/>
  <c r="E148"/>
  <c r="H148" s="1"/>
  <c r="AD113" s="1"/>
  <c r="F147"/>
  <c r="I147" s="1"/>
  <c r="E147"/>
  <c r="H147" s="1"/>
  <c r="AC113" s="1"/>
  <c r="F146"/>
  <c r="I146" s="1"/>
  <c r="E146"/>
  <c r="H146" s="1"/>
  <c r="AB113" s="1"/>
  <c r="F145"/>
  <c r="I145" s="1"/>
  <c r="E145"/>
  <c r="H145" s="1"/>
  <c r="AA113" s="1"/>
  <c r="F144"/>
  <c r="I144" s="1"/>
  <c r="E144"/>
  <c r="H144" s="1"/>
  <c r="Z113" s="1"/>
  <c r="F143"/>
  <c r="I143" s="1"/>
  <c r="E143"/>
  <c r="H143" s="1"/>
  <c r="Y113" s="1"/>
  <c r="F142"/>
  <c r="I142" s="1"/>
  <c r="E142"/>
  <c r="H142" s="1"/>
  <c r="X113" s="1"/>
  <c r="F141"/>
  <c r="I141" s="1"/>
  <c r="E141"/>
  <c r="H141" s="1"/>
  <c r="W113" s="1"/>
  <c r="F140"/>
  <c r="I140" s="1"/>
  <c r="E140"/>
  <c r="H140" s="1"/>
  <c r="V113" s="1"/>
  <c r="F139"/>
  <c r="I139" s="1"/>
  <c r="E139"/>
  <c r="H139" s="1"/>
  <c r="U113" s="1"/>
  <c r="F138"/>
  <c r="I138" s="1"/>
  <c r="E138"/>
  <c r="H138" s="1"/>
  <c r="T113" s="1"/>
  <c r="F137"/>
  <c r="I137" s="1"/>
  <c r="E137"/>
  <c r="H137" s="1"/>
  <c r="S113" s="1"/>
  <c r="F136"/>
  <c r="I136" s="1"/>
  <c r="E136"/>
  <c r="H136" s="1"/>
  <c r="R113" s="1"/>
  <c r="F135"/>
  <c r="I135" s="1"/>
  <c r="E135"/>
  <c r="H135" s="1"/>
  <c r="Q113" s="1"/>
  <c r="F134"/>
  <c r="I134" s="1"/>
  <c r="E134"/>
  <c r="H134" s="1"/>
  <c r="P113" s="1"/>
  <c r="F133"/>
  <c r="I133" s="1"/>
  <c r="E133"/>
  <c r="H133" s="1"/>
  <c r="O113" s="1"/>
  <c r="F132"/>
  <c r="I132" s="1"/>
  <c r="E132"/>
  <c r="H132" s="1"/>
  <c r="N113" s="1"/>
  <c r="F131"/>
  <c r="I131" s="1"/>
  <c r="E131"/>
  <c r="H131" s="1"/>
  <c r="M113" s="1"/>
  <c r="F130"/>
  <c r="I130" s="1"/>
  <c r="E130"/>
  <c r="H130" s="1"/>
  <c r="L113" s="1"/>
  <c r="F129"/>
  <c r="I129" s="1"/>
  <c r="E129"/>
  <c r="H129" s="1"/>
  <c r="K113" s="1"/>
  <c r="F128"/>
  <c r="I128" s="1"/>
  <c r="E128"/>
  <c r="H128" s="1"/>
  <c r="J113" s="1"/>
  <c r="F127"/>
  <c r="I127" s="1"/>
  <c r="E127"/>
  <c r="H127" s="1"/>
  <c r="I113" s="1"/>
  <c r="F126"/>
  <c r="I126" s="1"/>
  <c r="E126"/>
  <c r="H126" s="1"/>
  <c r="H113" s="1"/>
  <c r="F125"/>
  <c r="I125" s="1"/>
  <c r="E125"/>
  <c r="H125" s="1"/>
  <c r="G113" s="1"/>
  <c r="F124"/>
  <c r="I124" s="1"/>
  <c r="E124"/>
  <c r="H124" s="1"/>
  <c r="F113" s="1"/>
  <c r="F123"/>
  <c r="I123" s="1"/>
  <c r="E123"/>
  <c r="H123" s="1"/>
  <c r="F122"/>
  <c r="I122" s="1"/>
  <c r="E122"/>
  <c r="H122" s="1"/>
  <c r="D113" s="1"/>
  <c r="AG109"/>
  <c r="AF109"/>
  <c r="AE109"/>
  <c r="AD109"/>
  <c r="AC109"/>
  <c r="AB109"/>
  <c r="AA109"/>
  <c r="Z109"/>
  <c r="Y109"/>
  <c r="X109"/>
  <c r="W109"/>
  <c r="V109"/>
  <c r="U109"/>
  <c r="T109"/>
  <c r="S109"/>
  <c r="R109"/>
  <c r="Q109"/>
  <c r="O109"/>
  <c r="N109"/>
  <c r="M109"/>
  <c r="L109"/>
  <c r="K109"/>
  <c r="J109"/>
  <c r="I109"/>
  <c r="H109"/>
  <c r="G109"/>
  <c r="F109"/>
  <c r="E109"/>
  <c r="D109"/>
  <c r="C109"/>
  <c r="P102"/>
  <c r="P109" s="1"/>
  <c r="AG98"/>
  <c r="AF98"/>
  <c r="AE98"/>
  <c r="AD98"/>
  <c r="AC98"/>
  <c r="AB98"/>
  <c r="AA98"/>
  <c r="Y98"/>
  <c r="X98"/>
  <c r="V98"/>
  <c r="U98"/>
  <c r="T98"/>
  <c r="S98"/>
  <c r="Q98"/>
  <c r="P98"/>
  <c r="O98"/>
  <c r="N98"/>
  <c r="M98"/>
  <c r="L98"/>
  <c r="L115" s="1"/>
  <c r="K98"/>
  <c r="J98"/>
  <c r="I98"/>
  <c r="H98"/>
  <c r="G98"/>
  <c r="F98"/>
  <c r="D98"/>
  <c r="C98"/>
  <c r="Z93"/>
  <c r="Z98" s="1"/>
  <c r="R93"/>
  <c r="R98" s="1"/>
  <c r="W92"/>
  <c r="W98" s="1"/>
  <c r="E92"/>
  <c r="E98" s="1"/>
  <c r="AG89"/>
  <c r="AF89"/>
  <c r="AE89"/>
  <c r="AD89"/>
  <c r="AC89"/>
  <c r="AB89"/>
  <c r="AA89"/>
  <c r="Z89"/>
  <c r="Y89"/>
  <c r="X89"/>
  <c r="W89"/>
  <c r="V89"/>
  <c r="U89"/>
  <c r="T89"/>
  <c r="S89"/>
  <c r="R89"/>
  <c r="Q89"/>
  <c r="P89"/>
  <c r="O89"/>
  <c r="N89"/>
  <c r="M89"/>
  <c r="L89"/>
  <c r="K89"/>
  <c r="J89"/>
  <c r="I89"/>
  <c r="H89"/>
  <c r="F89"/>
  <c r="E89"/>
  <c r="D89"/>
  <c r="C89"/>
  <c r="G83"/>
  <c r="G89" s="1"/>
  <c r="AG77"/>
  <c r="AF77"/>
  <c r="AE77"/>
  <c r="AD77"/>
  <c r="AC77"/>
  <c r="AB77"/>
  <c r="AA77"/>
  <c r="Z77"/>
  <c r="X77"/>
  <c r="W77"/>
  <c r="V77"/>
  <c r="U77"/>
  <c r="T77"/>
  <c r="S77"/>
  <c r="R77"/>
  <c r="P77"/>
  <c r="O77"/>
  <c r="N77"/>
  <c r="M77"/>
  <c r="L77"/>
  <c r="K77"/>
  <c r="I77"/>
  <c r="H77"/>
  <c r="G77"/>
  <c r="F77"/>
  <c r="D77"/>
  <c r="C77"/>
  <c r="Y70"/>
  <c r="Y77" s="1"/>
  <c r="Q70"/>
  <c r="Q77" s="1"/>
  <c r="J70"/>
  <c r="J77" s="1"/>
  <c r="E70"/>
  <c r="E77" s="1"/>
  <c r="AG66"/>
  <c r="AF66"/>
  <c r="AE66"/>
  <c r="AD66"/>
  <c r="AC66"/>
  <c r="AB66"/>
  <c r="AA66"/>
  <c r="Z66"/>
  <c r="Y66"/>
  <c r="X66"/>
  <c r="W66"/>
  <c r="V66"/>
  <c r="U66"/>
  <c r="T66"/>
  <c r="S66"/>
  <c r="Q66"/>
  <c r="P66"/>
  <c r="O66"/>
  <c r="M66"/>
  <c r="L66"/>
  <c r="K66"/>
  <c r="I66"/>
  <c r="H66"/>
  <c r="G66"/>
  <c r="F66"/>
  <c r="E66"/>
  <c r="D66"/>
  <c r="J60"/>
  <c r="J66" s="1"/>
  <c r="R59"/>
  <c r="R66" s="1"/>
  <c r="N59"/>
  <c r="N66" s="1"/>
  <c r="C59"/>
  <c r="C66" s="1"/>
  <c r="AG55"/>
  <c r="AF55"/>
  <c r="AE55"/>
  <c r="AD55"/>
  <c r="AC55"/>
  <c r="AB55"/>
  <c r="AA55"/>
  <c r="Z55"/>
  <c r="Y55"/>
  <c r="X55"/>
  <c r="W55"/>
  <c r="V55"/>
  <c r="U55"/>
  <c r="T55"/>
  <c r="S55"/>
  <c r="R55"/>
  <c r="Q55"/>
  <c r="P55"/>
  <c r="O55"/>
  <c r="N55"/>
  <c r="M55"/>
  <c r="L55"/>
  <c r="K55"/>
  <c r="J55"/>
  <c r="I55"/>
  <c r="H55"/>
  <c r="G55"/>
  <c r="F55"/>
  <c r="E55"/>
  <c r="D55"/>
  <c r="C55"/>
  <c r="AG45"/>
  <c r="AF45"/>
  <c r="AE45"/>
  <c r="AD45"/>
  <c r="AC45"/>
  <c r="AB45"/>
  <c r="AA45"/>
  <c r="Z45"/>
  <c r="Y45"/>
  <c r="X45"/>
  <c r="W45"/>
  <c r="V45"/>
  <c r="U45"/>
  <c r="T45"/>
  <c r="S45"/>
  <c r="R45"/>
  <c r="P45"/>
  <c r="O45"/>
  <c r="N45"/>
  <c r="M45"/>
  <c r="L45"/>
  <c r="K45"/>
  <c r="J45"/>
  <c r="I45"/>
  <c r="H45"/>
  <c r="G45"/>
  <c r="F45"/>
  <c r="E45"/>
  <c r="D45"/>
  <c r="C45"/>
  <c r="Q39"/>
  <c r="Q45" s="1"/>
  <c r="AG35"/>
  <c r="AF35"/>
  <c r="AE35"/>
  <c r="AD35"/>
  <c r="AC35"/>
  <c r="AB35"/>
  <c r="AA35"/>
  <c r="Z35"/>
  <c r="Y35"/>
  <c r="X35"/>
  <c r="W35"/>
  <c r="V35"/>
  <c r="U35"/>
  <c r="T35"/>
  <c r="S35"/>
  <c r="R35"/>
  <c r="Q35"/>
  <c r="P35"/>
  <c r="O35"/>
  <c r="N35"/>
  <c r="M35"/>
  <c r="L35"/>
  <c r="J35"/>
  <c r="I35"/>
  <c r="H35"/>
  <c r="F35"/>
  <c r="E35"/>
  <c r="D35"/>
  <c r="C35"/>
  <c r="G35"/>
  <c r="AG24"/>
  <c r="AF24"/>
  <c r="AE24"/>
  <c r="AD24"/>
  <c r="AC24"/>
  <c r="AB24"/>
  <c r="AA24"/>
  <c r="Z24"/>
  <c r="Y24"/>
  <c r="X24"/>
  <c r="W24"/>
  <c r="V24"/>
  <c r="U24"/>
  <c r="T24"/>
  <c r="S24"/>
  <c r="R24"/>
  <c r="Q24"/>
  <c r="P24"/>
  <c r="O24"/>
  <c r="N24"/>
  <c r="M24"/>
  <c r="L24"/>
  <c r="K24"/>
  <c r="I24"/>
  <c r="H24"/>
  <c r="G24"/>
  <c r="F24"/>
  <c r="E24"/>
  <c r="D24"/>
  <c r="C24"/>
  <c r="J18"/>
  <c r="J24" s="1"/>
  <c r="AG14"/>
  <c r="AF14"/>
  <c r="AE14"/>
  <c r="AD14"/>
  <c r="AC14"/>
  <c r="AB14"/>
  <c r="AA14"/>
  <c r="Z14"/>
  <c r="Y14"/>
  <c r="X14"/>
  <c r="W14"/>
  <c r="V14"/>
  <c r="U14"/>
  <c r="T14"/>
  <c r="S14"/>
  <c r="Q14"/>
  <c r="P14"/>
  <c r="O14"/>
  <c r="N14"/>
  <c r="M14"/>
  <c r="L14"/>
  <c r="K14"/>
  <c r="J14"/>
  <c r="I14"/>
  <c r="H14"/>
  <c r="F14"/>
  <c r="E14"/>
  <c r="D14"/>
  <c r="C14"/>
  <c r="R9"/>
  <c r="R14" s="1"/>
  <c r="G9"/>
  <c r="G14" s="1"/>
  <c r="E112" l="1"/>
  <c r="I115"/>
  <c r="Z115"/>
  <c r="T115"/>
  <c r="AB115"/>
  <c r="D115"/>
  <c r="AD115"/>
  <c r="O115"/>
  <c r="AE115"/>
  <c r="P115"/>
  <c r="X115"/>
  <c r="AF115"/>
  <c r="S115"/>
  <c r="AA115"/>
  <c r="H115"/>
  <c r="Q115"/>
  <c r="Y115"/>
  <c r="AG115"/>
  <c r="M115"/>
  <c r="U115"/>
  <c r="AC115"/>
  <c r="F115"/>
  <c r="W115"/>
  <c r="K115"/>
  <c r="J115"/>
  <c r="R115"/>
  <c r="E115"/>
  <c r="G115"/>
  <c r="N115"/>
  <c r="V115"/>
  <c r="P59" i="2"/>
  <c r="P64" s="1"/>
  <c r="F64"/>
  <c r="F39"/>
  <c r="D107"/>
  <c r="E107"/>
  <c r="F107"/>
  <c r="H107"/>
  <c r="I107"/>
  <c r="J107"/>
  <c r="K107"/>
  <c r="L107"/>
  <c r="M107"/>
  <c r="N107"/>
  <c r="O107"/>
  <c r="P107"/>
  <c r="Q107"/>
  <c r="R107"/>
  <c r="D96"/>
  <c r="E96"/>
  <c r="F96"/>
  <c r="I96"/>
  <c r="J96"/>
  <c r="K96"/>
  <c r="L96"/>
  <c r="M96"/>
  <c r="N96"/>
  <c r="O96"/>
  <c r="P96"/>
  <c r="Q96"/>
  <c r="R96"/>
  <c r="C96"/>
  <c r="D87"/>
  <c r="E87"/>
  <c r="F87"/>
  <c r="H87"/>
  <c r="I87"/>
  <c r="J87"/>
  <c r="K87"/>
  <c r="L87"/>
  <c r="M87"/>
  <c r="N87"/>
  <c r="O87"/>
  <c r="P87"/>
  <c r="Q87"/>
  <c r="R87"/>
  <c r="C87"/>
  <c r="D75"/>
  <c r="E75"/>
  <c r="F75"/>
  <c r="G75"/>
  <c r="J75"/>
  <c r="K75"/>
  <c r="L75"/>
  <c r="M75"/>
  <c r="N75"/>
  <c r="O75"/>
  <c r="P75"/>
  <c r="Q75"/>
  <c r="R75"/>
  <c r="C75"/>
  <c r="D64"/>
  <c r="E64"/>
  <c r="G64"/>
  <c r="H64"/>
  <c r="I64"/>
  <c r="J64"/>
  <c r="K64"/>
  <c r="L64"/>
  <c r="M64"/>
  <c r="N64"/>
  <c r="O64"/>
  <c r="Q64"/>
  <c r="R64"/>
  <c r="D53"/>
  <c r="E53"/>
  <c r="F53"/>
  <c r="H53"/>
  <c r="I53"/>
  <c r="J53"/>
  <c r="K53"/>
  <c r="L53"/>
  <c r="M53"/>
  <c r="N53"/>
  <c r="O53"/>
  <c r="P53"/>
  <c r="Q53"/>
  <c r="R53"/>
  <c r="C53"/>
  <c r="D43"/>
  <c r="E43"/>
  <c r="H43"/>
  <c r="I43"/>
  <c r="J43"/>
  <c r="K43"/>
  <c r="L43"/>
  <c r="M43"/>
  <c r="N43"/>
  <c r="O43"/>
  <c r="P43"/>
  <c r="Q43"/>
  <c r="R43"/>
  <c r="C33"/>
  <c r="C22"/>
  <c r="C12"/>
  <c r="E33"/>
  <c r="F33"/>
  <c r="G33"/>
  <c r="H33"/>
  <c r="I33"/>
  <c r="J33"/>
  <c r="K33"/>
  <c r="L33"/>
  <c r="M33"/>
  <c r="N33"/>
  <c r="O33"/>
  <c r="P33"/>
  <c r="Q33"/>
  <c r="R33"/>
  <c r="D33"/>
  <c r="E22"/>
  <c r="F22"/>
  <c r="G22"/>
  <c r="I22"/>
  <c r="J22"/>
  <c r="K22"/>
  <c r="L22"/>
  <c r="M22"/>
  <c r="N22"/>
  <c r="O22"/>
  <c r="P22"/>
  <c r="Q22"/>
  <c r="R22"/>
  <c r="D22"/>
  <c r="E12"/>
  <c r="F12"/>
  <c r="I12"/>
  <c r="J12"/>
  <c r="K12"/>
  <c r="L12"/>
  <c r="M12"/>
  <c r="N12"/>
  <c r="O12"/>
  <c r="P12"/>
  <c r="Q12"/>
  <c r="R12"/>
  <c r="D12"/>
  <c r="K116" l="1"/>
  <c r="E116"/>
  <c r="N116"/>
  <c r="J116"/>
  <c r="Q116"/>
  <c r="M116"/>
  <c r="D116"/>
  <c r="O116"/>
  <c r="P116"/>
  <c r="L116"/>
  <c r="R116"/>
  <c r="F43"/>
  <c r="F116" s="1"/>
  <c r="G39"/>
  <c r="G43" s="1"/>
  <c r="H92"/>
  <c r="G96"/>
  <c r="H8"/>
  <c r="H12" s="1"/>
  <c r="G87" l="1"/>
  <c r="I68"/>
  <c r="I75" s="1"/>
  <c r="I116" s="1"/>
  <c r="H68"/>
  <c r="H75" s="1"/>
  <c r="H94"/>
  <c r="H96" s="1"/>
  <c r="H20"/>
  <c r="H22" s="1"/>
  <c r="G53"/>
  <c r="G12"/>
  <c r="C100"/>
  <c r="C107" s="1"/>
  <c r="C57"/>
  <c r="C64" s="1"/>
  <c r="C43"/>
  <c r="H116" l="1"/>
  <c r="G107"/>
  <c r="G116" s="1"/>
  <c r="E114"/>
  <c r="F114"/>
  <c r="G114"/>
  <c r="H114"/>
  <c r="I114"/>
  <c r="J114"/>
  <c r="K114"/>
  <c r="L114"/>
  <c r="M114"/>
  <c r="N114"/>
  <c r="O114"/>
  <c r="P114"/>
  <c r="Q114"/>
  <c r="R114"/>
  <c r="D114"/>
  <c r="AH66" i="3" l="1"/>
</calcChain>
</file>

<file path=xl/sharedStrings.xml><?xml version="1.0" encoding="utf-8"?>
<sst xmlns="http://schemas.openxmlformats.org/spreadsheetml/2006/main" count="340" uniqueCount="158">
  <si>
    <t>Б</t>
  </si>
  <si>
    <t>Ж</t>
  </si>
  <si>
    <t>У</t>
  </si>
  <si>
    <t>Хлеб ржаной</t>
  </si>
  <si>
    <t>Хлеб пшеничный</t>
  </si>
  <si>
    <t>Фрукты свежие</t>
  </si>
  <si>
    <t>Какао с молоком</t>
  </si>
  <si>
    <t>Мясо</t>
  </si>
  <si>
    <t>Птица</t>
  </si>
  <si>
    <t>Рыба</t>
  </si>
  <si>
    <t>Яйцо</t>
  </si>
  <si>
    <t>Картофель</t>
  </si>
  <si>
    <t>Хлеб ржан</t>
  </si>
  <si>
    <t>Хлеб пшенич</t>
  </si>
  <si>
    <t>Крупы, бобовые</t>
  </si>
  <si>
    <t>Мука пшеничн</t>
  </si>
  <si>
    <t>Чай</t>
  </si>
  <si>
    <t>Какао-порошок</t>
  </si>
  <si>
    <t>Сахар</t>
  </si>
  <si>
    <t>Дрожжи</t>
  </si>
  <si>
    <t>Масло слив</t>
  </si>
  <si>
    <t>Итого</t>
  </si>
  <si>
    <t>Жаркое по-домашнему</t>
  </si>
  <si>
    <t>Наименование продуктов  </t>
  </si>
  <si>
    <t>Хлеб пшеничный            </t>
  </si>
  <si>
    <t>Мука пшеничная            </t>
  </si>
  <si>
    <t>Крупы, бобовые            </t>
  </si>
  <si>
    <t>Макаронные изделия        </t>
  </si>
  <si>
    <t>Картофель                  </t>
  </si>
  <si>
    <t>Сыр                       </t>
  </si>
  <si>
    <t>Масло сливочное           </t>
  </si>
  <si>
    <t>Масло растительное        </t>
  </si>
  <si>
    <t>Сахар &lt;***&gt;               </t>
  </si>
  <si>
    <t>Кондитерские изделия      </t>
  </si>
  <si>
    <t>Дрожжи хлебопекарные      </t>
  </si>
  <si>
    <t>Сметана (массовая доля жира не более 15%)   </t>
  </si>
  <si>
    <t>Макаронные изделия отварные с маслом</t>
  </si>
  <si>
    <t>Сметана</t>
  </si>
  <si>
    <t>Чай с лимоном</t>
  </si>
  <si>
    <t>*</t>
  </si>
  <si>
    <t>Сыр</t>
  </si>
  <si>
    <t>В1</t>
  </si>
  <si>
    <t>С</t>
  </si>
  <si>
    <t>А</t>
  </si>
  <si>
    <t>Е</t>
  </si>
  <si>
    <t>В2</t>
  </si>
  <si>
    <t>Кальций (мг)</t>
  </si>
  <si>
    <t>Фосфор (мг)</t>
  </si>
  <si>
    <t>Магний (мг)</t>
  </si>
  <si>
    <t>Железо (мг)</t>
  </si>
  <si>
    <t>Хлеб ржаной                </t>
  </si>
  <si>
    <t>7-11 лет</t>
  </si>
  <si>
    <t>Итого за сутки, нетто</t>
  </si>
  <si>
    <t>Соки плодоовощные, напитки витаминизированные, в т.ч. инстантные</t>
  </si>
  <si>
    <t>Молоко (2,5 %, 3,5 % )</t>
  </si>
  <si>
    <t>Кисломолочная пищевая продукция</t>
  </si>
  <si>
    <t>Какао-порошок                     </t>
  </si>
  <si>
    <t>Кофейный напиток</t>
  </si>
  <si>
    <t>Соль  пищевая поваренная йодированная                     </t>
  </si>
  <si>
    <t>Специи</t>
  </si>
  <si>
    <t xml:space="preserve">Обед 35 % </t>
  </si>
  <si>
    <t>Завтрак 25 %</t>
  </si>
  <si>
    <t>Творог (м.д. жира не более 9 %)      </t>
  </si>
  <si>
    <t>на 1 день</t>
  </si>
  <si>
    <t xml:space="preserve">Овощи </t>
  </si>
  <si>
    <t>Яйцо,  1 шт.      </t>
  </si>
  <si>
    <t>Кофейный напиток на молоке</t>
  </si>
  <si>
    <t xml:space="preserve">Молоко </t>
  </si>
  <si>
    <t>Творог</t>
  </si>
  <si>
    <t>Пудинг из творога (запечённый)</t>
  </si>
  <si>
    <t>Л 224</t>
  </si>
  <si>
    <t>Рагу из овощей</t>
  </si>
  <si>
    <t>Соус сметанный</t>
  </si>
  <si>
    <t xml:space="preserve">Тефтели из говядины </t>
  </si>
  <si>
    <t>на 10 дней</t>
  </si>
  <si>
    <t>Картофельное пюре</t>
  </si>
  <si>
    <t>№ рец.</t>
  </si>
  <si>
    <t>Выход, г, мл</t>
  </si>
  <si>
    <t>Овощи свежие, зелень</t>
  </si>
  <si>
    <t>Фрукты (плоды) свежие     </t>
  </si>
  <si>
    <t>Сухофрукты, в т.ч. шиповник</t>
  </si>
  <si>
    <t>Мясо жилованное 1-й категории</t>
  </si>
  <si>
    <t>Цыплята 1 категории потрошеные (куры 1 кат.)      </t>
  </si>
  <si>
    <t>Рыба-филе             </t>
  </si>
  <si>
    <t xml:space="preserve">Картофель отварной </t>
  </si>
  <si>
    <t xml:space="preserve">Шницель рыбный натуральный  </t>
  </si>
  <si>
    <t>Котлеты рубленные из кур, запеченные с соусом молочным</t>
  </si>
  <si>
    <t>Фрикадельки из кур или бройлеров-цыплят</t>
  </si>
  <si>
    <t>Котлеты (биточки) особые</t>
  </si>
  <si>
    <t>Напиток из сухофруктов</t>
  </si>
  <si>
    <t xml:space="preserve">Чай с сахаром </t>
  </si>
  <si>
    <t xml:space="preserve">Молоко сгущенное </t>
  </si>
  <si>
    <t>Фруктовый чай</t>
  </si>
  <si>
    <t>Колбасные издедия (субпродукты)</t>
  </si>
  <si>
    <t>Пирог фруктовый "Школьный"</t>
  </si>
  <si>
    <t>*379</t>
  </si>
  <si>
    <t>Омлет с колбасой или сосисками</t>
  </si>
  <si>
    <t>завтрак 25 %</t>
  </si>
  <si>
    <t>Норма по СанПин</t>
  </si>
  <si>
    <t>Йод (мг)</t>
  </si>
  <si>
    <t>Цинк (мг)</t>
  </si>
  <si>
    <t>Фактически завтрак (СРЕДНЕЕ)</t>
  </si>
  <si>
    <t>Специи (по МР)</t>
  </si>
  <si>
    <t xml:space="preserve">Кофейный напиток (по МР) </t>
  </si>
  <si>
    <t>Итого за день по СанПиН</t>
  </si>
  <si>
    <t>Рыба запеченная с молочным соусом</t>
  </si>
  <si>
    <t>Л 386/597</t>
  </si>
  <si>
    <t xml:space="preserve">Пищевая ценность ЗАВТРАК </t>
  </si>
  <si>
    <t>Меню завтраков для обучающихся 1-4 классов (сезон лето-осень)</t>
  </si>
  <si>
    <t>День 1 (понедельник)</t>
  </si>
  <si>
    <t>День 2 (вторник)</t>
  </si>
  <si>
    <t>День  3 (среда)</t>
  </si>
  <si>
    <t>День 4 (четверг)</t>
  </si>
  <si>
    <t>День 5 (пятница)</t>
  </si>
  <si>
    <t>День 6 (понедельник)</t>
  </si>
  <si>
    <t>День 7 (вторник)</t>
  </si>
  <si>
    <t>День 8 (среда)</t>
  </si>
  <si>
    <t>День 9 (четверг)</t>
  </si>
  <si>
    <t>День  10 (пятница)</t>
  </si>
  <si>
    <t>Фрукты свежие (яблоки)</t>
  </si>
  <si>
    <t>Овощи свежие (огурцы)</t>
  </si>
  <si>
    <t xml:space="preserve">Каша жидкая молочная (рисовая) </t>
  </si>
  <si>
    <t>Бутерброд с сыром "Голландский" и маслом сливочным</t>
  </si>
  <si>
    <t>Кисломолочный продукт (кефир 2,5 %-ой жирности)</t>
  </si>
  <si>
    <t>Салат из овощей (помидоров и огурцов)</t>
  </si>
  <si>
    <t>Каша вязкая (ячневая)</t>
  </si>
  <si>
    <t>Сок натуральный (яблочный)</t>
  </si>
  <si>
    <t>Салат из овощей (белокачанной капусты)</t>
  </si>
  <si>
    <t>Хлеб ржаной йодированный</t>
  </si>
  <si>
    <t>Овощи свежие (помидоры)</t>
  </si>
  <si>
    <t>Кондитерское изделие (печенье сахарное)</t>
  </si>
  <si>
    <t>Салат из овощей (белокачанной капусты с морковью)</t>
  </si>
  <si>
    <t>Каша вязкая (гречневая)</t>
  </si>
  <si>
    <t>Кисломолочный продукт (йогурт 3,2 %-ой жирности)</t>
  </si>
  <si>
    <t>Фрукты свежие (персики)</t>
  </si>
  <si>
    <t>Сок  натуральный (грушевый)</t>
  </si>
  <si>
    <t>Фрукты свежие (груши)</t>
  </si>
  <si>
    <t>Сок натуральный (персиковый)</t>
  </si>
  <si>
    <t>Накопительная сырьевая ведомость</t>
  </si>
  <si>
    <t>Сухофрукты</t>
  </si>
  <si>
    <t>Наменование блюд / сырья</t>
  </si>
  <si>
    <t>Макаронные изделия</t>
  </si>
  <si>
    <t>Соки натуральные</t>
  </si>
  <si>
    <t>Кисломолочные продукты</t>
  </si>
  <si>
    <t>Масло растительное</t>
  </si>
  <si>
    <t>Кондитерские изделия</t>
  </si>
  <si>
    <t>Соль йодированная</t>
  </si>
  <si>
    <t>Выполнение норм сырья по СанПиН</t>
  </si>
  <si>
    <t xml:space="preserve"> Колбасные изделия</t>
  </si>
  <si>
    <t>Минеральные вещества, мг</t>
  </si>
  <si>
    <t>Пищевые вещества, г</t>
  </si>
  <si>
    <t>Энергетическая ценность, кКал</t>
  </si>
  <si>
    <t>Витамины, мг</t>
  </si>
  <si>
    <t xml:space="preserve">Минеральные вещества, мг </t>
  </si>
  <si>
    <t>ИТОГО (фактически выдано продуктов в нетто на одного человека, г)</t>
  </si>
  <si>
    <t>ИТОГО (норм. за 10 дней на одного человека по СанПин)</t>
  </si>
  <si>
    <t>Отклонение от нормы ы % (+/- 5 %)</t>
  </si>
  <si>
    <t>Итого сырья на одного человека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</si>
</sst>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9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D79BE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3">
    <xf numFmtId="0" fontId="0" fillId="0" borderId="0" xfId="0"/>
    <xf numFmtId="2" fontId="1" fillId="4" borderId="1" xfId="0" applyNumberFormat="1" applyFont="1" applyFill="1" applyBorder="1"/>
    <xf numFmtId="2" fontId="1" fillId="0" borderId="1" xfId="0" applyNumberFormat="1" applyFont="1" applyBorder="1"/>
    <xf numFmtId="2" fontId="1" fillId="0" borderId="1" xfId="0" applyNumberFormat="1" applyFont="1" applyFill="1" applyBorder="1"/>
    <xf numFmtId="2" fontId="1" fillId="4" borderId="1" xfId="0" applyNumberFormat="1" applyFont="1" applyFill="1" applyBorder="1" applyAlignment="1">
      <alignment wrapText="1"/>
    </xf>
    <xf numFmtId="2" fontId="3" fillId="4" borderId="0" xfId="0" applyNumberFormat="1" applyFont="1" applyFill="1" applyAlignment="1">
      <alignment wrapText="1"/>
    </xf>
    <xf numFmtId="2" fontId="3" fillId="4" borderId="3" xfId="0" applyNumberFormat="1" applyFont="1" applyFill="1" applyBorder="1" applyAlignment="1">
      <alignment wrapText="1"/>
    </xf>
    <xf numFmtId="2" fontId="1" fillId="4" borderId="1" xfId="0" applyNumberFormat="1" applyFont="1" applyFill="1" applyBorder="1" applyAlignment="1">
      <alignment vertical="top" wrapText="1"/>
    </xf>
    <xf numFmtId="2" fontId="1" fillId="5" borderId="1" xfId="0" applyNumberFormat="1" applyFont="1" applyFill="1" applyBorder="1"/>
    <xf numFmtId="2" fontId="1" fillId="4" borderId="0" xfId="0" applyNumberFormat="1" applyFont="1" applyFill="1"/>
    <xf numFmtId="2" fontId="1" fillId="5" borderId="0" xfId="0" applyNumberFormat="1" applyFont="1" applyFill="1"/>
    <xf numFmtId="2" fontId="1" fillId="0" borderId="0" xfId="0" applyNumberFormat="1" applyFont="1" applyFill="1"/>
    <xf numFmtId="2" fontId="1" fillId="4" borderId="2" xfId="0" applyNumberFormat="1" applyFont="1" applyFill="1" applyBorder="1"/>
    <xf numFmtId="2" fontId="3" fillId="2" borderId="1" xfId="0" applyNumberFormat="1" applyFont="1" applyFill="1" applyBorder="1" applyAlignment="1">
      <alignment horizontal="left" indent="1"/>
    </xf>
    <xf numFmtId="2" fontId="1" fillId="2" borderId="1" xfId="0" applyNumberFormat="1" applyFont="1" applyFill="1" applyBorder="1"/>
    <xf numFmtId="2" fontId="3" fillId="4" borderId="0" xfId="0" applyNumberFormat="1" applyFont="1" applyFill="1"/>
    <xf numFmtId="2" fontId="3" fillId="2" borderId="0" xfId="0" applyNumberFormat="1" applyFont="1" applyFill="1"/>
    <xf numFmtId="2" fontId="3" fillId="4" borderId="7" xfId="0" applyNumberFormat="1" applyFont="1" applyFill="1" applyBorder="1" applyAlignment="1">
      <alignment horizontal="left" indent="1"/>
    </xf>
    <xf numFmtId="2" fontId="1" fillId="4" borderId="5" xfId="0" applyNumberFormat="1" applyFont="1" applyFill="1" applyBorder="1"/>
    <xf numFmtId="2" fontId="1" fillId="5" borderId="5" xfId="0" applyNumberFormat="1" applyFont="1" applyFill="1" applyBorder="1"/>
    <xf numFmtId="2" fontId="1" fillId="0" borderId="2" xfId="0" applyNumberFormat="1" applyFont="1" applyBorder="1"/>
    <xf numFmtId="2" fontId="1" fillId="0" borderId="0" xfId="0" applyNumberFormat="1" applyFont="1"/>
    <xf numFmtId="2" fontId="3" fillId="4" borderId="3" xfId="0" applyNumberFormat="1" applyFont="1" applyFill="1" applyBorder="1" applyAlignment="1">
      <alignment horizontal="right"/>
    </xf>
    <xf numFmtId="2" fontId="3" fillId="4" borderId="3" xfId="0" applyNumberFormat="1" applyFont="1" applyFill="1" applyBorder="1" applyAlignment="1">
      <alignment horizontal="left" indent="1"/>
    </xf>
    <xf numFmtId="2" fontId="3" fillId="2" borderId="1" xfId="0" applyNumberFormat="1" applyFont="1" applyFill="1" applyBorder="1"/>
    <xf numFmtId="2" fontId="3" fillId="5" borderId="0" xfId="0" applyNumberFormat="1" applyFont="1" applyFill="1"/>
    <xf numFmtId="2" fontId="1" fillId="4" borderId="1" xfId="0" applyNumberFormat="1" applyFont="1" applyFill="1" applyBorder="1" applyAlignment="1">
      <alignment horizontal="left" indent="1"/>
    </xf>
    <xf numFmtId="2" fontId="1" fillId="0" borderId="5" xfId="0" applyNumberFormat="1" applyFont="1" applyBorder="1"/>
    <xf numFmtId="2" fontId="1" fillId="0" borderId="3" xfId="0" applyNumberFormat="1" applyFont="1" applyBorder="1"/>
    <xf numFmtId="2" fontId="3" fillId="5" borderId="3" xfId="0" applyNumberFormat="1" applyFont="1" applyFill="1" applyBorder="1" applyAlignment="1">
      <alignment horizontal="left"/>
    </xf>
    <xf numFmtId="2" fontId="3" fillId="5" borderId="1" xfId="0" applyNumberFormat="1" applyFont="1" applyFill="1" applyBorder="1" applyAlignment="1">
      <alignment horizontal="left"/>
    </xf>
    <xf numFmtId="2" fontId="3" fillId="7" borderId="1" xfId="0" applyNumberFormat="1" applyFont="1" applyFill="1" applyBorder="1"/>
    <xf numFmtId="2" fontId="3" fillId="7" borderId="0" xfId="0" applyNumberFormat="1" applyFont="1" applyFill="1"/>
    <xf numFmtId="2" fontId="1" fillId="3" borderId="1" xfId="0" applyNumberFormat="1" applyFont="1" applyFill="1" applyBorder="1"/>
    <xf numFmtId="2" fontId="1" fillId="4" borderId="3" xfId="0" applyNumberFormat="1" applyFont="1" applyFill="1" applyBorder="1"/>
    <xf numFmtId="2" fontId="1" fillId="3" borderId="1" xfId="0" applyNumberFormat="1" applyFont="1" applyFill="1" applyBorder="1" applyAlignment="1">
      <alignment vertical="center" wrapText="1"/>
    </xf>
    <xf numFmtId="2" fontId="1" fillId="4" borderId="7" xfId="0" applyNumberFormat="1" applyFont="1" applyFill="1" applyBorder="1"/>
    <xf numFmtId="2" fontId="1" fillId="4" borderId="0" xfId="0" applyNumberFormat="1" applyFont="1" applyFill="1" applyBorder="1"/>
    <xf numFmtId="2" fontId="1" fillId="0" borderId="0" xfId="0" applyNumberFormat="1" applyFont="1" applyFill="1" applyBorder="1"/>
    <xf numFmtId="2" fontId="2" fillId="3" borderId="1" xfId="0" applyNumberFormat="1" applyFont="1" applyFill="1" applyBorder="1"/>
    <xf numFmtId="2" fontId="2" fillId="3" borderId="1" xfId="0" applyNumberFormat="1" applyFont="1" applyFill="1" applyBorder="1" applyAlignment="1">
      <alignment vertical="center" wrapText="1"/>
    </xf>
    <xf numFmtId="2" fontId="4" fillId="0" borderId="1" xfId="0" applyNumberFormat="1" applyFont="1" applyBorder="1" applyAlignment="1">
      <alignment horizontal="left" vertical="center"/>
    </xf>
    <xf numFmtId="2" fontId="4" fillId="0" borderId="5" xfId="0" applyNumberFormat="1" applyFont="1" applyBorder="1" applyAlignment="1">
      <alignment horizontal="left" vertical="center"/>
    </xf>
    <xf numFmtId="2" fontId="4" fillId="0" borderId="4" xfId="0" applyNumberFormat="1" applyFont="1" applyBorder="1" applyAlignment="1">
      <alignment horizontal="left" vertical="center"/>
    </xf>
    <xf numFmtId="2" fontId="4" fillId="0" borderId="8" xfId="0" applyNumberFormat="1" applyFont="1" applyBorder="1" applyAlignment="1">
      <alignment horizontal="left" vertical="center"/>
    </xf>
    <xf numFmtId="2" fontId="4" fillId="0" borderId="3" xfId="0" applyNumberFormat="1" applyFont="1" applyBorder="1" applyAlignment="1">
      <alignment horizontal="left" vertical="center"/>
    </xf>
    <xf numFmtId="2" fontId="5" fillId="4" borderId="1" xfId="0" applyNumberFormat="1" applyFont="1" applyFill="1" applyBorder="1"/>
    <xf numFmtId="2" fontId="5" fillId="4" borderId="1" xfId="0" applyNumberFormat="1" applyFont="1" applyFill="1" applyBorder="1" applyAlignment="1"/>
    <xf numFmtId="2" fontId="5" fillId="0" borderId="1" xfId="0" applyNumberFormat="1" applyFont="1" applyBorder="1"/>
    <xf numFmtId="2" fontId="5" fillId="5" borderId="1" xfId="0" applyNumberFormat="1" applyFont="1" applyFill="1" applyBorder="1" applyAlignment="1">
      <alignment wrapText="1"/>
    </xf>
    <xf numFmtId="2" fontId="4" fillId="3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wrapText="1"/>
    </xf>
    <xf numFmtId="2" fontId="5" fillId="0" borderId="1" xfId="0" applyNumberFormat="1" applyFont="1" applyFill="1" applyBorder="1"/>
    <xf numFmtId="2" fontId="5" fillId="8" borderId="1" xfId="0" applyNumberFormat="1" applyFont="1" applyFill="1" applyBorder="1"/>
    <xf numFmtId="2" fontId="5" fillId="4" borderId="2" xfId="0" applyNumberFormat="1" applyFont="1" applyFill="1" applyBorder="1" applyAlignment="1">
      <alignment wrapText="1"/>
    </xf>
    <xf numFmtId="2" fontId="5" fillId="0" borderId="1" xfId="0" applyNumberFormat="1" applyFont="1" applyFill="1" applyBorder="1" applyAlignment="1">
      <alignment horizontal="right"/>
    </xf>
    <xf numFmtId="2" fontId="4" fillId="2" borderId="1" xfId="0" applyNumberFormat="1" applyFont="1" applyFill="1" applyBorder="1" applyAlignment="1">
      <alignment horizontal="left" wrapText="1"/>
    </xf>
    <xf numFmtId="2" fontId="4" fillId="2" borderId="1" xfId="0" applyNumberFormat="1" applyFont="1" applyFill="1" applyBorder="1" applyAlignment="1">
      <alignment wrapText="1"/>
    </xf>
    <xf numFmtId="0" fontId="6" fillId="4" borderId="1" xfId="0" applyFont="1" applyFill="1" applyBorder="1"/>
    <xf numFmtId="2" fontId="6" fillId="4" borderId="1" xfId="0" applyNumberFormat="1" applyFont="1" applyFill="1" applyBorder="1"/>
    <xf numFmtId="2" fontId="6" fillId="0" borderId="1" xfId="0" applyNumberFormat="1" applyFont="1" applyBorder="1"/>
    <xf numFmtId="2" fontId="5" fillId="0" borderId="2" xfId="0" applyNumberFormat="1" applyFont="1" applyFill="1" applyBorder="1" applyAlignment="1">
      <alignment wrapText="1"/>
    </xf>
    <xf numFmtId="2" fontId="4" fillId="0" borderId="1" xfId="0" applyNumberFormat="1" applyFont="1" applyFill="1" applyBorder="1"/>
    <xf numFmtId="2" fontId="4" fillId="4" borderId="1" xfId="0" applyNumberFormat="1" applyFont="1" applyFill="1" applyBorder="1"/>
    <xf numFmtId="2" fontId="4" fillId="0" borderId="1" xfId="0" applyNumberFormat="1" applyFont="1" applyBorder="1"/>
    <xf numFmtId="2" fontId="4" fillId="2" borderId="1" xfId="0" applyNumberFormat="1" applyFont="1" applyFill="1" applyBorder="1" applyAlignment="1">
      <alignment horizontal="right" wrapText="1"/>
    </xf>
    <xf numFmtId="2" fontId="5" fillId="0" borderId="5" xfId="0" applyNumberFormat="1" applyFont="1" applyFill="1" applyBorder="1" applyAlignment="1">
      <alignment wrapText="1"/>
    </xf>
    <xf numFmtId="2" fontId="5" fillId="4" borderId="1" xfId="0" applyNumberFormat="1" applyFont="1" applyFill="1" applyBorder="1" applyAlignment="1">
      <alignment wrapText="1"/>
    </xf>
    <xf numFmtId="2" fontId="5" fillId="9" borderId="1" xfId="0" applyNumberFormat="1" applyFont="1" applyFill="1" applyBorder="1"/>
    <xf numFmtId="2" fontId="5" fillId="9" borderId="1" xfId="0" applyNumberFormat="1" applyFont="1" applyFill="1" applyBorder="1" applyAlignment="1"/>
    <xf numFmtId="2" fontId="4" fillId="10" borderId="1" xfId="0" applyNumberFormat="1" applyFont="1" applyFill="1" applyBorder="1" applyAlignment="1"/>
    <xf numFmtId="2" fontId="4" fillId="10" borderId="1" xfId="0" applyNumberFormat="1" applyFont="1" applyFill="1" applyBorder="1"/>
    <xf numFmtId="2" fontId="7" fillId="10" borderId="1" xfId="0" applyNumberFormat="1" applyFont="1" applyFill="1" applyBorder="1"/>
    <xf numFmtId="0" fontId="3" fillId="4" borderId="4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4" borderId="0" xfId="0" applyFont="1" applyFill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4" borderId="2" xfId="0" applyNumberFormat="1" applyFont="1" applyFill="1" applyBorder="1" applyAlignment="1">
      <alignment horizontal="center"/>
    </xf>
    <xf numFmtId="0" fontId="1" fillId="4" borderId="1" xfId="0" applyNumberFormat="1" applyFont="1" applyFill="1" applyBorder="1" applyAlignment="1">
      <alignment horizontal="center"/>
    </xf>
    <xf numFmtId="2" fontId="4" fillId="0" borderId="1" xfId="0" applyNumberFormat="1" applyFont="1" applyBorder="1" applyAlignment="1">
      <alignment horizontal="center" vertical="center"/>
    </xf>
    <xf numFmtId="2" fontId="5" fillId="4" borderId="1" xfId="0" applyNumberFormat="1" applyFont="1" applyFill="1" applyBorder="1" applyAlignment="1">
      <alignment horizontal="center"/>
    </xf>
    <xf numFmtId="0" fontId="5" fillId="0" borderId="1" xfId="0" applyNumberFormat="1" applyFont="1" applyFill="1" applyBorder="1" applyAlignment="1">
      <alignment horizontal="center" wrapText="1"/>
    </xf>
    <xf numFmtId="0" fontId="5" fillId="4" borderId="0" xfId="0" applyNumberFormat="1" applyFont="1" applyFill="1" applyBorder="1" applyAlignment="1">
      <alignment horizontal="center" wrapText="1"/>
    </xf>
    <xf numFmtId="0" fontId="5" fillId="4" borderId="1" xfId="0" applyNumberFormat="1" applyFont="1" applyFill="1" applyBorder="1" applyAlignment="1">
      <alignment horizontal="center" wrapText="1"/>
    </xf>
    <xf numFmtId="0" fontId="4" fillId="2" borderId="1" xfId="0" applyNumberFormat="1" applyFont="1" applyFill="1" applyBorder="1" applyAlignment="1">
      <alignment horizontal="center" wrapText="1"/>
    </xf>
    <xf numFmtId="0" fontId="4" fillId="4" borderId="6" xfId="0" applyNumberFormat="1" applyFont="1" applyFill="1" applyBorder="1" applyAlignment="1">
      <alignment horizontal="center" wrapText="1"/>
    </xf>
    <xf numFmtId="0" fontId="5" fillId="0" borderId="2" xfId="0" applyNumberFormat="1" applyFont="1" applyFill="1" applyBorder="1" applyAlignment="1">
      <alignment horizontal="center" wrapText="1"/>
    </xf>
    <xf numFmtId="0" fontId="4" fillId="4" borderId="4" xfId="0" applyNumberFormat="1" applyFont="1" applyFill="1" applyBorder="1" applyAlignment="1">
      <alignment horizontal="center" wrapText="1"/>
    </xf>
    <xf numFmtId="0" fontId="5" fillId="0" borderId="0" xfId="0" applyNumberFormat="1" applyFont="1" applyFill="1" applyAlignment="1">
      <alignment horizontal="center" wrapText="1"/>
    </xf>
    <xf numFmtId="0" fontId="5" fillId="0" borderId="4" xfId="0" applyNumberFormat="1" applyFont="1" applyFill="1" applyBorder="1" applyAlignment="1">
      <alignment horizontal="center" wrapText="1"/>
    </xf>
    <xf numFmtId="0" fontId="5" fillId="4" borderId="4" xfId="0" applyNumberFormat="1" applyFont="1" applyFill="1" applyBorder="1" applyAlignment="1">
      <alignment horizontal="center" wrapText="1"/>
    </xf>
    <xf numFmtId="0" fontId="5" fillId="4" borderId="0" xfId="0" applyNumberFormat="1" applyFont="1" applyFill="1" applyAlignment="1">
      <alignment horizontal="center" wrapText="1"/>
    </xf>
    <xf numFmtId="0" fontId="5" fillId="0" borderId="5" xfId="0" applyNumberFormat="1" applyFont="1" applyFill="1" applyBorder="1" applyAlignment="1">
      <alignment horizontal="center" wrapText="1"/>
    </xf>
    <xf numFmtId="2" fontId="5" fillId="0" borderId="1" xfId="0" applyNumberFormat="1" applyFont="1" applyFill="1" applyBorder="1" applyAlignment="1">
      <alignment horizontal="center"/>
    </xf>
    <xf numFmtId="2" fontId="4" fillId="9" borderId="1" xfId="0" applyNumberFormat="1" applyFont="1" applyFill="1" applyBorder="1" applyAlignment="1">
      <alignment horizontal="center"/>
    </xf>
    <xf numFmtId="2" fontId="4" fillId="3" borderId="1" xfId="0" applyNumberFormat="1" applyFont="1" applyFill="1" applyBorder="1" applyAlignment="1">
      <alignment horizontal="center" vertical="center" wrapText="1"/>
    </xf>
    <xf numFmtId="2" fontId="5" fillId="4" borderId="5" xfId="0" applyNumberFormat="1" applyFont="1" applyFill="1" applyBorder="1"/>
    <xf numFmtId="2" fontId="5" fillId="4" borderId="4" xfId="0" applyNumberFormat="1" applyFont="1" applyFill="1" applyBorder="1"/>
    <xf numFmtId="2" fontId="5" fillId="4" borderId="8" xfId="0" applyNumberFormat="1" applyFont="1" applyFill="1" applyBorder="1"/>
    <xf numFmtId="2" fontId="5" fillId="0" borderId="3" xfId="0" applyNumberFormat="1" applyFont="1" applyBorder="1"/>
    <xf numFmtId="0" fontId="1" fillId="0" borderId="1" xfId="0" applyNumberFormat="1" applyFont="1" applyFill="1" applyBorder="1" applyAlignment="1">
      <alignment horizontal="center" wrapText="1"/>
    </xf>
    <xf numFmtId="2" fontId="1" fillId="0" borderId="1" xfId="0" applyNumberFormat="1" applyFont="1" applyFill="1" applyBorder="1" applyAlignment="1">
      <alignment wrapText="1"/>
    </xf>
    <xf numFmtId="0" fontId="1" fillId="4" borderId="0" xfId="0" applyNumberFormat="1" applyFont="1" applyFill="1" applyBorder="1" applyAlignment="1">
      <alignment horizontal="center" wrapText="1"/>
    </xf>
    <xf numFmtId="2" fontId="1" fillId="4" borderId="2" xfId="0" applyNumberFormat="1" applyFont="1" applyFill="1" applyBorder="1" applyAlignment="1">
      <alignment wrapText="1"/>
    </xf>
    <xf numFmtId="0" fontId="1" fillId="0" borderId="2" xfId="0" applyNumberFormat="1" applyFont="1" applyFill="1" applyBorder="1" applyAlignment="1">
      <alignment horizontal="center" wrapText="1"/>
    </xf>
    <xf numFmtId="2" fontId="1" fillId="0" borderId="2" xfId="0" applyNumberFormat="1" applyFont="1" applyFill="1" applyBorder="1" applyAlignment="1">
      <alignment wrapText="1"/>
    </xf>
    <xf numFmtId="0" fontId="1" fillId="4" borderId="1" xfId="0" applyNumberFormat="1" applyFont="1" applyFill="1" applyBorder="1" applyAlignment="1">
      <alignment horizontal="center" wrapText="1"/>
    </xf>
    <xf numFmtId="0" fontId="1" fillId="0" borderId="0" xfId="0" applyNumberFormat="1" applyFont="1" applyFill="1" applyAlignment="1">
      <alignment horizontal="center" wrapText="1"/>
    </xf>
    <xf numFmtId="0" fontId="1" fillId="0" borderId="4" xfId="0" applyNumberFormat="1" applyFont="1" applyFill="1" applyBorder="1" applyAlignment="1">
      <alignment horizontal="center" wrapText="1"/>
    </xf>
    <xf numFmtId="0" fontId="1" fillId="4" borderId="4" xfId="0" applyNumberFormat="1" applyFont="1" applyFill="1" applyBorder="1" applyAlignment="1">
      <alignment horizontal="center" wrapText="1"/>
    </xf>
    <xf numFmtId="0" fontId="1" fillId="0" borderId="5" xfId="0" applyNumberFormat="1" applyFont="1" applyFill="1" applyBorder="1" applyAlignment="1">
      <alignment horizontal="center" wrapText="1"/>
    </xf>
    <xf numFmtId="2" fontId="1" fillId="0" borderId="5" xfId="0" applyNumberFormat="1" applyFont="1" applyFill="1" applyBorder="1" applyAlignment="1">
      <alignment wrapText="1"/>
    </xf>
    <xf numFmtId="2" fontId="4" fillId="4" borderId="4" xfId="0" applyNumberFormat="1" applyFont="1" applyFill="1" applyBorder="1"/>
    <xf numFmtId="2" fontId="4" fillId="0" borderId="3" xfId="0" applyNumberFormat="1" applyFont="1" applyBorder="1"/>
    <xf numFmtId="2" fontId="9" fillId="4" borderId="1" xfId="0" applyNumberFormat="1" applyFont="1" applyFill="1" applyBorder="1" applyAlignment="1">
      <alignment horizontal="center"/>
    </xf>
    <xf numFmtId="2" fontId="9" fillId="4" borderId="1" xfId="0" applyNumberFormat="1" applyFont="1" applyFill="1" applyBorder="1" applyAlignment="1"/>
    <xf numFmtId="2" fontId="9" fillId="4" borderId="1" xfId="0" applyNumberFormat="1" applyFont="1" applyFill="1" applyBorder="1"/>
    <xf numFmtId="2" fontId="9" fillId="4" borderId="5" xfId="0" applyNumberFormat="1" applyFont="1" applyFill="1" applyBorder="1"/>
    <xf numFmtId="2" fontId="9" fillId="4" borderId="4" xfId="0" applyNumberFormat="1" applyFont="1" applyFill="1" applyBorder="1"/>
    <xf numFmtId="2" fontId="9" fillId="4" borderId="8" xfId="0" applyNumberFormat="1" applyFont="1" applyFill="1" applyBorder="1"/>
    <xf numFmtId="2" fontId="9" fillId="0" borderId="3" xfId="0" applyNumberFormat="1" applyFont="1" applyBorder="1"/>
    <xf numFmtId="2" fontId="9" fillId="0" borderId="1" xfId="0" applyNumberFormat="1" applyFont="1" applyBorder="1"/>
    <xf numFmtId="0" fontId="3" fillId="4" borderId="1" xfId="0" applyNumberFormat="1" applyFont="1" applyFill="1" applyBorder="1" applyAlignment="1">
      <alignment horizontal="center"/>
    </xf>
    <xf numFmtId="2" fontId="3" fillId="4" borderId="1" xfId="0" applyNumberFormat="1" applyFont="1" applyFill="1" applyBorder="1"/>
    <xf numFmtId="0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/>
    <xf numFmtId="2" fontId="8" fillId="4" borderId="0" xfId="0" applyNumberFormat="1" applyFont="1" applyFill="1"/>
    <xf numFmtId="0" fontId="10" fillId="6" borderId="1" xfId="0" applyFont="1" applyFill="1" applyBorder="1" applyAlignment="1">
      <alignment horizontal="center" wrapText="1"/>
    </xf>
    <xf numFmtId="2" fontId="10" fillId="6" borderId="1" xfId="0" applyNumberFormat="1" applyFont="1" applyFill="1" applyBorder="1" applyAlignment="1">
      <alignment horizontal="center" wrapText="1"/>
    </xf>
    <xf numFmtId="2" fontId="10" fillId="4" borderId="0" xfId="0" applyNumberFormat="1" applyFont="1" applyFill="1" applyAlignment="1">
      <alignment horizontal="center" wrapText="1"/>
    </xf>
    <xf numFmtId="2" fontId="10" fillId="6" borderId="0" xfId="0" applyNumberFormat="1" applyFont="1" applyFill="1" applyAlignment="1">
      <alignment horizontal="center" wrapText="1"/>
    </xf>
    <xf numFmtId="2" fontId="10" fillId="6" borderId="1" xfId="0" applyNumberFormat="1" applyFont="1" applyFill="1" applyBorder="1" applyAlignment="1">
      <alignment horizontal="center" vertical="top" wrapText="1"/>
    </xf>
    <xf numFmtId="2" fontId="9" fillId="0" borderId="4" xfId="0" applyNumberFormat="1" applyFont="1" applyBorder="1"/>
    <xf numFmtId="2" fontId="5" fillId="0" borderId="4" xfId="0" applyNumberFormat="1" applyFont="1" applyBorder="1"/>
    <xf numFmtId="2" fontId="5" fillId="0" borderId="4" xfId="0" applyNumberFormat="1" applyFont="1" applyFill="1" applyBorder="1"/>
    <xf numFmtId="2" fontId="6" fillId="0" borderId="4" xfId="0" applyNumberFormat="1" applyFont="1" applyBorder="1"/>
    <xf numFmtId="2" fontId="4" fillId="0" borderId="4" xfId="0" applyNumberFormat="1" applyFont="1" applyFill="1" applyBorder="1"/>
    <xf numFmtId="2" fontId="4" fillId="3" borderId="4" xfId="0" applyNumberFormat="1" applyFont="1" applyFill="1" applyBorder="1" applyAlignment="1">
      <alignment horizontal="right" vertical="center"/>
    </xf>
    <xf numFmtId="2" fontId="5" fillId="8" borderId="3" xfId="0" applyNumberFormat="1" applyFont="1" applyFill="1" applyBorder="1"/>
    <xf numFmtId="2" fontId="5" fillId="0" borderId="3" xfId="0" applyNumberFormat="1" applyFont="1" applyFill="1" applyBorder="1"/>
    <xf numFmtId="2" fontId="6" fillId="0" borderId="3" xfId="0" applyNumberFormat="1" applyFont="1" applyBorder="1"/>
    <xf numFmtId="2" fontId="4" fillId="0" borderId="3" xfId="0" applyNumberFormat="1" applyFont="1" applyFill="1" applyBorder="1"/>
    <xf numFmtId="2" fontId="5" fillId="9" borderId="3" xfId="0" applyNumberFormat="1" applyFont="1" applyFill="1" applyBorder="1"/>
    <xf numFmtId="2" fontId="5" fillId="4" borderId="3" xfId="0" applyNumberFormat="1" applyFont="1" applyFill="1" applyBorder="1"/>
    <xf numFmtId="2" fontId="5" fillId="4" borderId="0" xfId="0" applyNumberFormat="1" applyFont="1" applyFill="1" applyBorder="1"/>
    <xf numFmtId="2" fontId="4" fillId="4" borderId="0" xfId="0" applyNumberFormat="1" applyFont="1" applyFill="1" applyBorder="1"/>
    <xf numFmtId="2" fontId="9" fillId="4" borderId="0" xfId="0" applyNumberFormat="1" applyFont="1" applyFill="1" applyBorder="1"/>
    <xf numFmtId="2" fontId="4" fillId="4" borderId="0" xfId="0" applyNumberFormat="1" applyFont="1" applyFill="1" applyBorder="1" applyAlignment="1">
      <alignment horizontal="left" vertical="center"/>
    </xf>
    <xf numFmtId="2" fontId="6" fillId="4" borderId="0" xfId="0" applyNumberFormat="1" applyFont="1" applyFill="1" applyBorder="1"/>
    <xf numFmtId="2" fontId="5" fillId="4" borderId="5" xfId="0" applyNumberFormat="1" applyFont="1" applyFill="1" applyBorder="1" applyAlignment="1">
      <alignment horizontal="center"/>
    </xf>
    <xf numFmtId="2" fontId="5" fillId="4" borderId="5" xfId="0" applyNumberFormat="1" applyFont="1" applyFill="1" applyBorder="1" applyAlignment="1"/>
    <xf numFmtId="2" fontId="5" fillId="0" borderId="5" xfId="0" applyNumberFormat="1" applyFont="1" applyFill="1" applyBorder="1"/>
    <xf numFmtId="2" fontId="5" fillId="0" borderId="6" xfId="0" applyNumberFormat="1" applyFont="1" applyFill="1" applyBorder="1"/>
    <xf numFmtId="2" fontId="5" fillId="0" borderId="7" xfId="0" applyNumberFormat="1" applyFont="1" applyBorder="1"/>
    <xf numFmtId="2" fontId="5" fillId="0" borderId="5" xfId="0" applyNumberFormat="1" applyFont="1" applyBorder="1"/>
    <xf numFmtId="2" fontId="5" fillId="4" borderId="2" xfId="0" applyNumberFormat="1" applyFont="1" applyFill="1" applyBorder="1" applyAlignment="1">
      <alignment horizontal="center"/>
    </xf>
    <xf numFmtId="2" fontId="5" fillId="4" borderId="2" xfId="0" applyNumberFormat="1" applyFont="1" applyFill="1" applyBorder="1" applyAlignment="1"/>
    <xf numFmtId="2" fontId="5" fillId="4" borderId="2" xfId="0" applyNumberFormat="1" applyFont="1" applyFill="1" applyBorder="1"/>
    <xf numFmtId="2" fontId="5" fillId="0" borderId="2" xfId="0" applyNumberFormat="1" applyFont="1" applyFill="1" applyBorder="1"/>
    <xf numFmtId="2" fontId="5" fillId="0" borderId="9" xfId="0" applyNumberFormat="1" applyFont="1" applyFill="1" applyBorder="1"/>
    <xf numFmtId="2" fontId="5" fillId="0" borderId="10" xfId="0" applyNumberFormat="1" applyFont="1" applyBorder="1"/>
    <xf numFmtId="2" fontId="5" fillId="0" borderId="2" xfId="0" applyNumberFormat="1" applyFont="1" applyBorder="1"/>
    <xf numFmtId="2" fontId="5" fillId="4" borderId="0" xfId="0" applyNumberFormat="1" applyFont="1" applyFill="1" applyBorder="1" applyAlignment="1">
      <alignment horizontal="center"/>
    </xf>
    <xf numFmtId="2" fontId="5" fillId="4" borderId="0" xfId="0" applyNumberFormat="1" applyFont="1" applyFill="1" applyBorder="1" applyAlignment="1"/>
    <xf numFmtId="2" fontId="1" fillId="6" borderId="1" xfId="0" applyNumberFormat="1" applyFont="1" applyFill="1" applyBorder="1"/>
    <xf numFmtId="2" fontId="2" fillId="6" borderId="1" xfId="0" applyNumberFormat="1" applyFont="1" applyFill="1" applyBorder="1"/>
    <xf numFmtId="2" fontId="4" fillId="3" borderId="1" xfId="0" applyNumberFormat="1" applyFont="1" applyFill="1" applyBorder="1" applyAlignment="1">
      <alignment horizontal="center" vertical="center"/>
    </xf>
    <xf numFmtId="2" fontId="4" fillId="5" borderId="4" xfId="0" applyNumberFormat="1" applyFont="1" applyFill="1" applyBorder="1" applyAlignment="1">
      <alignment horizontal="center" wrapText="1"/>
    </xf>
    <xf numFmtId="2" fontId="4" fillId="5" borderId="3" xfId="0" applyNumberFormat="1" applyFont="1" applyFill="1" applyBorder="1" applyAlignment="1">
      <alignment horizontal="center" wrapText="1"/>
    </xf>
    <xf numFmtId="2" fontId="4" fillId="3" borderId="4" xfId="0" applyNumberFormat="1" applyFont="1" applyFill="1" applyBorder="1" applyAlignment="1">
      <alignment horizontal="center" vertical="center" wrapText="1"/>
    </xf>
    <xf numFmtId="2" fontId="4" fillId="3" borderId="8" xfId="0" applyNumberFormat="1" applyFont="1" applyFill="1" applyBorder="1" applyAlignment="1">
      <alignment horizontal="center" vertical="center" wrapText="1"/>
    </xf>
    <xf numFmtId="2" fontId="4" fillId="3" borderId="3" xfId="0" applyNumberFormat="1" applyFont="1" applyFill="1" applyBorder="1" applyAlignment="1">
      <alignment horizontal="center" vertical="center" wrapText="1"/>
    </xf>
    <xf numFmtId="2" fontId="4" fillId="3" borderId="1" xfId="0" applyNumberFormat="1" applyFont="1" applyFill="1" applyBorder="1" applyAlignment="1">
      <alignment horizontal="center" vertical="center" wrapText="1"/>
    </xf>
    <xf numFmtId="2" fontId="4" fillId="3" borderId="5" xfId="0" applyNumberFormat="1" applyFont="1" applyFill="1" applyBorder="1" applyAlignment="1">
      <alignment horizontal="center" vertical="center" wrapText="1"/>
    </xf>
    <xf numFmtId="2" fontId="4" fillId="3" borderId="2" xfId="0" applyNumberFormat="1" applyFont="1" applyFill="1" applyBorder="1" applyAlignment="1">
      <alignment horizontal="center" vertical="center" wrapText="1"/>
    </xf>
    <xf numFmtId="2" fontId="4" fillId="5" borderId="1" xfId="0" applyNumberFormat="1" applyFont="1" applyFill="1" applyBorder="1" applyAlignment="1">
      <alignment horizontal="center" wrapText="1"/>
    </xf>
    <xf numFmtId="2" fontId="4" fillId="3" borderId="1" xfId="0" applyNumberFormat="1" applyFont="1" applyFill="1" applyBorder="1" applyAlignment="1">
      <alignment horizontal="center" vertical="center"/>
    </xf>
    <xf numFmtId="2" fontId="3" fillId="3" borderId="1" xfId="0" applyNumberFormat="1" applyFont="1" applyFill="1" applyBorder="1" applyAlignment="1">
      <alignment vertical="center" wrapText="1"/>
    </xf>
    <xf numFmtId="2" fontId="3" fillId="5" borderId="1" xfId="0" applyNumberFormat="1" applyFont="1" applyFill="1" applyBorder="1" applyAlignment="1">
      <alignment horizontal="center" wrapText="1"/>
    </xf>
    <xf numFmtId="2" fontId="3" fillId="5" borderId="4" xfId="0" applyNumberFormat="1" applyFont="1" applyFill="1" applyBorder="1" applyAlignment="1">
      <alignment horizontal="center" wrapText="1"/>
    </xf>
    <xf numFmtId="2" fontId="3" fillId="5" borderId="3" xfId="0" applyNumberFormat="1" applyFont="1" applyFill="1" applyBorder="1" applyAlignment="1">
      <alignment horizontal="center" wrapText="1"/>
    </xf>
    <xf numFmtId="2" fontId="1" fillId="4" borderId="4" xfId="0" applyNumberFormat="1" applyFont="1" applyFill="1" applyBorder="1" applyAlignment="1">
      <alignment horizontal="left"/>
    </xf>
    <xf numFmtId="2" fontId="1" fillId="4" borderId="3" xfId="0" applyNumberFormat="1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60F53D"/>
      <color rgb="FFD79BEF"/>
      <color rgb="FF32D70B"/>
      <color rgb="FF9A57CD"/>
      <color rgb="FFF3644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L169"/>
  <sheetViews>
    <sheetView tabSelected="1" topLeftCell="A76" zoomScale="70" zoomScaleNormal="70" workbookViewId="0">
      <selection activeCell="AB119" sqref="AB119"/>
    </sheetView>
  </sheetViews>
  <sheetFormatPr defaultColWidth="9.140625" defaultRowHeight="15.75" customHeight="1"/>
  <cols>
    <col min="1" max="1" width="11.5703125" style="90" customWidth="1"/>
    <col min="2" max="2" width="72.85546875" style="47" customWidth="1"/>
    <col min="3" max="3" width="8.7109375" style="46" customWidth="1"/>
    <col min="4" max="6" width="9.140625" style="46"/>
    <col min="7" max="7" width="14" style="46" customWidth="1"/>
    <col min="8" max="15" width="9.140625" style="46"/>
    <col min="16" max="16" width="11" style="46" customWidth="1"/>
    <col min="17" max="17" width="10.140625" style="46" customWidth="1"/>
    <col min="18" max="18" width="9.140625" style="48"/>
    <col min="19" max="19" width="9.140625" style="143"/>
    <col min="20" max="37" width="9.140625" style="154"/>
    <col min="38" max="38" width="9.140625" style="109"/>
    <col min="39" max="16384" width="9.140625" style="48"/>
  </cols>
  <sheetData>
    <row r="1" spans="1:38" s="131" customFormat="1" ht="15.75" customHeight="1">
      <c r="A1" s="124"/>
      <c r="B1" s="125" t="s">
        <v>108</v>
      </c>
      <c r="C1" s="126"/>
      <c r="D1" s="126"/>
      <c r="E1" s="126"/>
      <c r="F1" s="126"/>
      <c r="G1" s="127"/>
      <c r="H1" s="126"/>
      <c r="I1" s="126"/>
      <c r="J1" s="126"/>
      <c r="K1" s="126"/>
      <c r="L1" s="126"/>
      <c r="M1" s="128"/>
      <c r="N1" s="129"/>
      <c r="O1" s="129"/>
      <c r="P1" s="129"/>
      <c r="Q1" s="129"/>
      <c r="R1" s="130"/>
      <c r="S1" s="142"/>
      <c r="T1" s="156"/>
      <c r="U1" s="156"/>
      <c r="V1" s="156"/>
      <c r="W1" s="156"/>
      <c r="X1" s="156"/>
      <c r="Y1" s="156"/>
      <c r="Z1" s="156"/>
      <c r="AA1" s="156"/>
      <c r="AB1" s="156"/>
      <c r="AC1" s="156"/>
      <c r="AD1" s="156"/>
      <c r="AE1" s="156"/>
      <c r="AF1" s="156"/>
      <c r="AG1" s="156"/>
      <c r="AH1" s="156"/>
      <c r="AI1" s="156"/>
      <c r="AJ1" s="156"/>
      <c r="AK1" s="156"/>
      <c r="AL1" s="130"/>
    </row>
    <row r="2" spans="1:38" ht="15.75" customHeight="1">
      <c r="G2" s="106"/>
      <c r="M2" s="107"/>
      <c r="N2" s="108"/>
      <c r="O2" s="108"/>
      <c r="P2" s="108"/>
      <c r="Q2" s="108"/>
      <c r="R2" s="109"/>
    </row>
    <row r="3" spans="1:38" s="41" customFormat="1" ht="15.75" customHeight="1">
      <c r="A3" s="89"/>
      <c r="B3" s="41" t="s">
        <v>107</v>
      </c>
      <c r="G3" s="42"/>
      <c r="M3" s="43"/>
      <c r="N3" s="44"/>
      <c r="O3" s="44"/>
      <c r="P3" s="44"/>
      <c r="Q3" s="44"/>
      <c r="R3" s="45"/>
      <c r="S3" s="43"/>
      <c r="T3" s="157"/>
      <c r="U3" s="157"/>
      <c r="V3" s="157"/>
      <c r="W3" s="157"/>
      <c r="X3" s="157"/>
      <c r="Y3" s="157"/>
      <c r="Z3" s="157"/>
      <c r="AA3" s="157"/>
      <c r="AB3" s="157"/>
      <c r="AC3" s="157"/>
      <c r="AD3" s="157"/>
      <c r="AE3" s="157"/>
      <c r="AF3" s="157"/>
      <c r="AG3" s="157"/>
      <c r="AH3" s="157"/>
      <c r="AI3" s="157"/>
      <c r="AJ3" s="157"/>
      <c r="AK3" s="157"/>
      <c r="AL3" s="45"/>
    </row>
    <row r="4" spans="1:38" ht="25.5" customHeight="1">
      <c r="D4" s="182" t="s">
        <v>150</v>
      </c>
      <c r="E4" s="182"/>
      <c r="F4" s="182"/>
      <c r="G4" s="183" t="s">
        <v>151</v>
      </c>
      <c r="H4" s="182" t="s">
        <v>152</v>
      </c>
      <c r="I4" s="182"/>
      <c r="J4" s="182"/>
      <c r="K4" s="182"/>
      <c r="L4" s="182"/>
      <c r="M4" s="179" t="s">
        <v>153</v>
      </c>
      <c r="N4" s="180"/>
      <c r="O4" s="180"/>
      <c r="P4" s="180"/>
      <c r="Q4" s="180"/>
      <c r="R4" s="181"/>
      <c r="S4" s="107"/>
    </row>
    <row r="5" spans="1:38" ht="33.75" customHeight="1">
      <c r="A5" s="177" t="s">
        <v>109</v>
      </c>
      <c r="B5" s="178"/>
      <c r="C5" s="49"/>
      <c r="D5" s="50" t="s">
        <v>0</v>
      </c>
      <c r="E5" s="50" t="s">
        <v>1</v>
      </c>
      <c r="F5" s="50" t="s">
        <v>2</v>
      </c>
      <c r="G5" s="184"/>
      <c r="H5" s="50" t="s">
        <v>41</v>
      </c>
      <c r="I5" s="50" t="s">
        <v>45</v>
      </c>
      <c r="J5" s="50" t="s">
        <v>42</v>
      </c>
      <c r="K5" s="50" t="s">
        <v>43</v>
      </c>
      <c r="L5" s="50" t="s">
        <v>44</v>
      </c>
      <c r="M5" s="50" t="s">
        <v>46</v>
      </c>
      <c r="N5" s="50" t="s">
        <v>47</v>
      </c>
      <c r="O5" s="50" t="s">
        <v>48</v>
      </c>
      <c r="P5" s="50" t="s">
        <v>49</v>
      </c>
      <c r="Q5" s="50" t="s">
        <v>100</v>
      </c>
      <c r="R5" s="50" t="s">
        <v>99</v>
      </c>
      <c r="S5" s="107"/>
    </row>
    <row r="6" spans="1:38" s="53" customFormat="1" ht="15.75" customHeight="1">
      <c r="A6" s="91">
        <v>3</v>
      </c>
      <c r="B6" s="51" t="s">
        <v>122</v>
      </c>
      <c r="C6" s="51">
        <v>40</v>
      </c>
      <c r="D6" s="52">
        <v>6.23</v>
      </c>
      <c r="E6" s="52">
        <v>8.41</v>
      </c>
      <c r="F6" s="52">
        <v>19.75</v>
      </c>
      <c r="G6" s="52">
        <f>F6*4+E6*9+D6*4</f>
        <v>179.61</v>
      </c>
      <c r="H6" s="52">
        <v>5.3999999999999999E-2</v>
      </c>
      <c r="I6" s="52">
        <v>0.47199999999999998</v>
      </c>
      <c r="J6" s="52">
        <v>0.11</v>
      </c>
      <c r="K6" s="52">
        <v>0.62</v>
      </c>
      <c r="L6" s="52">
        <v>0.215</v>
      </c>
      <c r="M6" s="52">
        <v>137.19999999999999</v>
      </c>
      <c r="N6" s="52">
        <v>79</v>
      </c>
      <c r="O6" s="52">
        <v>10.9</v>
      </c>
      <c r="P6" s="52">
        <v>0.6</v>
      </c>
      <c r="Q6" s="52">
        <v>1.32</v>
      </c>
      <c r="R6" s="52">
        <v>0</v>
      </c>
      <c r="S6" s="144"/>
      <c r="T6" s="154"/>
      <c r="U6" s="154"/>
      <c r="V6" s="154"/>
      <c r="W6" s="154"/>
      <c r="X6" s="154"/>
      <c r="Y6" s="154"/>
      <c r="Z6" s="154"/>
      <c r="AA6" s="154"/>
      <c r="AB6" s="154"/>
      <c r="AC6" s="154"/>
      <c r="AD6" s="154"/>
      <c r="AE6" s="154"/>
      <c r="AF6" s="154"/>
      <c r="AG6" s="154"/>
      <c r="AH6" s="154"/>
      <c r="AI6" s="154"/>
      <c r="AJ6" s="154"/>
      <c r="AK6" s="154"/>
      <c r="AL6" s="148"/>
    </row>
    <row r="7" spans="1:38" ht="15.75" customHeight="1">
      <c r="A7" s="92"/>
      <c r="B7" s="54" t="s">
        <v>121</v>
      </c>
      <c r="C7" s="54">
        <v>230</v>
      </c>
      <c r="D7" s="52">
        <v>6.8505000000000003</v>
      </c>
      <c r="E7" s="52">
        <v>6.5880000000000001</v>
      </c>
      <c r="F7" s="52">
        <v>29.329000000000001</v>
      </c>
      <c r="G7" s="52">
        <f t="shared" ref="G7:G10" si="0">F7*4+E7*9+D7*4</f>
        <v>204.01</v>
      </c>
      <c r="H7" s="52">
        <v>9.4500000000000001E-3</v>
      </c>
      <c r="I7" s="52">
        <v>2.1000000000000001E-2</v>
      </c>
      <c r="J7" s="52">
        <v>0.189</v>
      </c>
      <c r="K7" s="52">
        <v>0.03</v>
      </c>
      <c r="L7" s="52">
        <v>0</v>
      </c>
      <c r="M7" s="52">
        <v>21.630000000000003</v>
      </c>
      <c r="N7" s="52">
        <v>22.8795</v>
      </c>
      <c r="O7" s="52">
        <v>5.0925000000000002</v>
      </c>
      <c r="P7" s="52">
        <v>7.350000000000001E-2</v>
      </c>
      <c r="Q7" s="52">
        <v>1.1000000000000001</v>
      </c>
      <c r="R7" s="52">
        <v>0</v>
      </c>
      <c r="S7" s="144"/>
    </row>
    <row r="8" spans="1:38" s="53" customFormat="1" ht="15.75" customHeight="1">
      <c r="A8" s="91">
        <v>382</v>
      </c>
      <c r="B8" s="51" t="s">
        <v>6</v>
      </c>
      <c r="C8" s="51">
        <v>200</v>
      </c>
      <c r="D8" s="55">
        <v>4.07</v>
      </c>
      <c r="E8" s="55">
        <v>3.5</v>
      </c>
      <c r="F8" s="55">
        <v>17.5</v>
      </c>
      <c r="G8" s="52">
        <f t="shared" si="0"/>
        <v>117.78</v>
      </c>
      <c r="H8" s="55">
        <f>0.28*0.18</f>
        <v>5.04E-2</v>
      </c>
      <c r="I8" s="55">
        <v>0.18</v>
      </c>
      <c r="J8" s="55">
        <v>1.57</v>
      </c>
      <c r="K8" s="55">
        <v>0.24</v>
      </c>
      <c r="L8" s="55">
        <v>0</v>
      </c>
      <c r="M8" s="55">
        <v>152.19999999999999</v>
      </c>
      <c r="N8" s="55">
        <v>124.5</v>
      </c>
      <c r="O8" s="55">
        <v>21.34</v>
      </c>
      <c r="P8" s="55">
        <v>0.47</v>
      </c>
      <c r="Q8" s="52">
        <v>0.5</v>
      </c>
      <c r="R8" s="52">
        <v>0</v>
      </c>
      <c r="S8" s="144"/>
      <c r="T8" s="154"/>
      <c r="U8" s="154"/>
      <c r="V8" s="154"/>
      <c r="W8" s="154"/>
      <c r="X8" s="154"/>
      <c r="Y8" s="154"/>
      <c r="Z8" s="154"/>
      <c r="AA8" s="154"/>
      <c r="AB8" s="154"/>
      <c r="AC8" s="154"/>
      <c r="AD8" s="154"/>
      <c r="AE8" s="154"/>
      <c r="AF8" s="154"/>
      <c r="AG8" s="154"/>
      <c r="AH8" s="154"/>
      <c r="AI8" s="154"/>
      <c r="AJ8" s="154"/>
      <c r="AK8" s="154"/>
      <c r="AL8" s="148"/>
    </row>
    <row r="9" spans="1:38" s="52" customFormat="1" ht="15.75" customHeight="1">
      <c r="A9" s="91"/>
      <c r="B9" s="51" t="s">
        <v>4</v>
      </c>
      <c r="C9" s="51">
        <v>20</v>
      </c>
      <c r="D9" s="52">
        <v>1.35</v>
      </c>
      <c r="E9" s="52">
        <v>0.17199999999999999</v>
      </c>
      <c r="F9" s="52">
        <v>10.029999999999999</v>
      </c>
      <c r="G9" s="52">
        <f t="shared" si="0"/>
        <v>47.067999999999998</v>
      </c>
      <c r="H9" s="52">
        <v>2.4E-2</v>
      </c>
      <c r="I9" s="52">
        <v>5.0000000000000001E-3</v>
      </c>
      <c r="J9" s="52">
        <v>0</v>
      </c>
      <c r="K9" s="52">
        <v>0</v>
      </c>
      <c r="L9" s="52">
        <v>0.22</v>
      </c>
      <c r="M9" s="52">
        <v>4</v>
      </c>
      <c r="N9" s="52">
        <v>13</v>
      </c>
      <c r="O9" s="52">
        <v>2.8</v>
      </c>
      <c r="P9" s="52">
        <v>0.22</v>
      </c>
      <c r="Q9" s="52">
        <v>0.14699999999999999</v>
      </c>
      <c r="R9" s="52">
        <v>0</v>
      </c>
      <c r="S9" s="144"/>
      <c r="T9" s="154"/>
      <c r="U9" s="154"/>
      <c r="V9" s="154"/>
      <c r="W9" s="154"/>
      <c r="X9" s="154"/>
      <c r="Y9" s="154"/>
      <c r="Z9" s="154"/>
      <c r="AA9" s="154"/>
      <c r="AB9" s="154"/>
      <c r="AC9" s="154"/>
      <c r="AD9" s="154"/>
      <c r="AE9" s="154"/>
      <c r="AF9" s="154"/>
      <c r="AG9" s="154"/>
      <c r="AH9" s="154"/>
      <c r="AI9" s="154"/>
      <c r="AJ9" s="154"/>
      <c r="AK9" s="154"/>
      <c r="AL9" s="149"/>
    </row>
    <row r="10" spans="1:38" s="52" customFormat="1" ht="15.75" customHeight="1">
      <c r="A10" s="91">
        <v>368</v>
      </c>
      <c r="B10" s="51" t="s">
        <v>119</v>
      </c>
      <c r="C10" s="51">
        <v>120</v>
      </c>
      <c r="D10" s="55">
        <v>0.5</v>
      </c>
      <c r="E10" s="55">
        <v>0.5</v>
      </c>
      <c r="F10" s="55">
        <v>12.8</v>
      </c>
      <c r="G10" s="52">
        <f t="shared" si="0"/>
        <v>57.7</v>
      </c>
      <c r="H10" s="55">
        <v>0.04</v>
      </c>
      <c r="I10" s="55">
        <v>0.01</v>
      </c>
      <c r="J10" s="55">
        <v>5</v>
      </c>
      <c r="K10" s="55">
        <v>0</v>
      </c>
      <c r="L10" s="55">
        <v>0.33</v>
      </c>
      <c r="M10" s="55">
        <v>25</v>
      </c>
      <c r="N10" s="55">
        <v>18.3</v>
      </c>
      <c r="O10" s="55">
        <v>14.16</v>
      </c>
      <c r="P10" s="55">
        <v>0.5</v>
      </c>
      <c r="Q10" s="52">
        <v>0.48</v>
      </c>
      <c r="R10" s="52">
        <v>1.0000000000000001E-5</v>
      </c>
      <c r="S10" s="144"/>
      <c r="T10" s="154"/>
      <c r="U10" s="154"/>
      <c r="V10" s="154"/>
      <c r="W10" s="154"/>
      <c r="X10" s="154"/>
      <c r="Y10" s="154"/>
      <c r="Z10" s="154"/>
      <c r="AA10" s="154"/>
      <c r="AB10" s="154"/>
      <c r="AC10" s="154"/>
      <c r="AD10" s="154"/>
      <c r="AE10" s="154"/>
      <c r="AF10" s="154"/>
      <c r="AG10" s="154"/>
      <c r="AH10" s="154"/>
      <c r="AI10" s="154"/>
      <c r="AJ10" s="154"/>
      <c r="AK10" s="154"/>
      <c r="AL10" s="149"/>
    </row>
    <row r="11" spans="1:38" s="52" customFormat="1" ht="15.75" customHeight="1">
      <c r="A11" s="93"/>
      <c r="B11" s="51"/>
      <c r="C11" s="51"/>
      <c r="S11" s="144"/>
      <c r="T11" s="154"/>
      <c r="U11" s="154"/>
      <c r="V11" s="154"/>
      <c r="W11" s="154"/>
      <c r="X11" s="154"/>
      <c r="Y11" s="154"/>
      <c r="Z11" s="154"/>
      <c r="AA11" s="154"/>
      <c r="AB11" s="154"/>
      <c r="AC11" s="154"/>
      <c r="AD11" s="154"/>
      <c r="AE11" s="154"/>
      <c r="AF11" s="154"/>
      <c r="AG11" s="154"/>
      <c r="AH11" s="154"/>
      <c r="AI11" s="154"/>
      <c r="AJ11" s="154"/>
      <c r="AK11" s="154"/>
      <c r="AL11" s="149"/>
    </row>
    <row r="12" spans="1:38" s="52" customFormat="1" ht="15.75" customHeight="1">
      <c r="A12" s="94"/>
      <c r="B12" s="56" t="s">
        <v>21</v>
      </c>
      <c r="C12" s="57">
        <f>SUM(C6:C10)</f>
        <v>610</v>
      </c>
      <c r="D12" s="57">
        <f>SUM(D6:D10)</f>
        <v>19.000500000000002</v>
      </c>
      <c r="E12" s="57">
        <f t="shared" ref="E12:R12" si="1">SUM(E6:E10)</f>
        <v>19.170000000000002</v>
      </c>
      <c r="F12" s="57">
        <f t="shared" si="1"/>
        <v>89.409000000000006</v>
      </c>
      <c r="G12" s="57">
        <f t="shared" si="1"/>
        <v>606.16800000000001</v>
      </c>
      <c r="H12" s="57">
        <f t="shared" si="1"/>
        <v>0.17785000000000001</v>
      </c>
      <c r="I12" s="57">
        <f t="shared" si="1"/>
        <v>0.68800000000000006</v>
      </c>
      <c r="J12" s="57">
        <f t="shared" si="1"/>
        <v>6.8689999999999998</v>
      </c>
      <c r="K12" s="57">
        <f t="shared" si="1"/>
        <v>0.89</v>
      </c>
      <c r="L12" s="57">
        <f t="shared" si="1"/>
        <v>0.76500000000000001</v>
      </c>
      <c r="M12" s="57">
        <f t="shared" si="1"/>
        <v>340.03</v>
      </c>
      <c r="N12" s="57">
        <f t="shared" si="1"/>
        <v>257.67950000000002</v>
      </c>
      <c r="O12" s="57">
        <f t="shared" si="1"/>
        <v>54.29249999999999</v>
      </c>
      <c r="P12" s="57">
        <f t="shared" si="1"/>
        <v>1.8634999999999999</v>
      </c>
      <c r="Q12" s="57">
        <f t="shared" si="1"/>
        <v>3.5469999999999997</v>
      </c>
      <c r="R12" s="57">
        <f t="shared" si="1"/>
        <v>1.0000000000000001E-5</v>
      </c>
      <c r="S12" s="144"/>
      <c r="T12" s="154"/>
      <c r="U12" s="154"/>
      <c r="V12" s="154"/>
      <c r="W12" s="154"/>
      <c r="X12" s="154"/>
      <c r="Y12" s="154"/>
      <c r="Z12" s="154"/>
      <c r="AA12" s="154"/>
      <c r="AB12" s="154"/>
      <c r="AC12" s="154"/>
      <c r="AD12" s="154"/>
      <c r="AE12" s="154"/>
      <c r="AF12" s="154"/>
      <c r="AG12" s="154"/>
      <c r="AH12" s="154"/>
      <c r="AI12" s="154"/>
      <c r="AJ12" s="154"/>
      <c r="AK12" s="154"/>
      <c r="AL12" s="149"/>
    </row>
    <row r="13" spans="1:38" ht="15.75" customHeight="1">
      <c r="A13" s="95"/>
      <c r="B13" s="58" t="s">
        <v>98</v>
      </c>
      <c r="C13" s="58"/>
      <c r="D13" s="59">
        <v>19.25</v>
      </c>
      <c r="E13" s="59">
        <v>19.75</v>
      </c>
      <c r="F13" s="59">
        <v>83.75</v>
      </c>
      <c r="G13" s="59">
        <v>587.5</v>
      </c>
      <c r="H13" s="59">
        <v>0.3</v>
      </c>
      <c r="I13" s="59">
        <v>0.35</v>
      </c>
      <c r="J13" s="59">
        <v>15</v>
      </c>
      <c r="K13" s="59">
        <v>0.17499999999999999</v>
      </c>
      <c r="L13" s="59">
        <v>2.5</v>
      </c>
      <c r="M13" s="59">
        <v>275</v>
      </c>
      <c r="N13" s="59">
        <v>412.5</v>
      </c>
      <c r="O13" s="59">
        <v>62.5</v>
      </c>
      <c r="P13" s="59">
        <v>3</v>
      </c>
      <c r="Q13" s="59">
        <v>2.5</v>
      </c>
      <c r="R13" s="59">
        <v>2.5000000000000001E-2</v>
      </c>
    </row>
    <row r="14" spans="1:38" s="60" customFormat="1" ht="15.75" customHeight="1">
      <c r="A14" s="185" t="s">
        <v>110</v>
      </c>
      <c r="B14" s="185"/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145"/>
      <c r="T14" s="158"/>
      <c r="U14" s="158"/>
      <c r="V14" s="158"/>
      <c r="W14" s="158"/>
      <c r="X14" s="158"/>
      <c r="Y14" s="158"/>
      <c r="Z14" s="158"/>
      <c r="AA14" s="158"/>
      <c r="AB14" s="158"/>
      <c r="AC14" s="158"/>
      <c r="AD14" s="158"/>
      <c r="AE14" s="158"/>
      <c r="AF14" s="158"/>
      <c r="AG14" s="158"/>
      <c r="AH14" s="158"/>
      <c r="AI14" s="158"/>
      <c r="AJ14" s="158"/>
      <c r="AK14" s="158"/>
      <c r="AL14" s="150"/>
    </row>
    <row r="15" spans="1:38" ht="15.75" customHeight="1">
      <c r="A15" s="96"/>
      <c r="B15" s="61" t="s">
        <v>120</v>
      </c>
      <c r="C15" s="61">
        <v>60</v>
      </c>
      <c r="D15" s="55">
        <v>0.79</v>
      </c>
      <c r="E15" s="55">
        <v>0.14399999999999999</v>
      </c>
      <c r="F15" s="55">
        <v>2.7360000000000002</v>
      </c>
      <c r="G15" s="55">
        <f>F15*4+E15*9+D15*4</f>
        <v>15.4</v>
      </c>
      <c r="H15" s="55">
        <v>4.8000000000000001E-2</v>
      </c>
      <c r="I15" s="55">
        <v>2.4E-2</v>
      </c>
      <c r="J15" s="55">
        <v>12.6</v>
      </c>
      <c r="K15" s="55">
        <v>0</v>
      </c>
      <c r="L15" s="55">
        <v>0.5</v>
      </c>
      <c r="M15" s="55">
        <v>10.08</v>
      </c>
      <c r="N15" s="55">
        <v>18.72</v>
      </c>
      <c r="O15" s="55">
        <v>14.4</v>
      </c>
      <c r="P15" s="55">
        <v>0.64800000000000002</v>
      </c>
      <c r="Q15" s="48">
        <v>0.10199999999999999</v>
      </c>
      <c r="R15" s="48">
        <v>0</v>
      </c>
    </row>
    <row r="16" spans="1:38" ht="15.75" customHeight="1">
      <c r="A16" s="91">
        <v>259</v>
      </c>
      <c r="B16" s="51" t="s">
        <v>22</v>
      </c>
      <c r="C16" s="51">
        <v>175</v>
      </c>
      <c r="D16" s="46">
        <v>17.009708737864077</v>
      </c>
      <c r="E16" s="46">
        <v>15.679611650485436</v>
      </c>
      <c r="F16" s="46">
        <v>25.864077669902912</v>
      </c>
      <c r="G16" s="55">
        <f t="shared" ref="G16:G20" si="2">F16*4+E16*9+D16*4</f>
        <v>312.61165048543688</v>
      </c>
      <c r="H16" s="46">
        <v>0.13980582524271842</v>
      </c>
      <c r="I16" s="46">
        <v>0.19805825242718447</v>
      </c>
      <c r="J16" s="46">
        <v>8.0970873786407758</v>
      </c>
      <c r="K16" s="46">
        <v>0</v>
      </c>
      <c r="L16" s="46">
        <v>10.067961165048542</v>
      </c>
      <c r="M16" s="46">
        <v>36.504854368932037</v>
      </c>
      <c r="N16" s="46">
        <v>215.95145631067962</v>
      </c>
      <c r="O16" s="46">
        <v>50.902912621359221</v>
      </c>
      <c r="P16" s="46">
        <v>4.6213592233009706</v>
      </c>
      <c r="Q16" s="48">
        <v>3.38</v>
      </c>
      <c r="R16" s="48">
        <v>0</v>
      </c>
    </row>
    <row r="17" spans="1:38" s="62" customFormat="1" ht="15.75" customHeight="1">
      <c r="A17" s="91" t="s">
        <v>39</v>
      </c>
      <c r="B17" s="51" t="s">
        <v>92</v>
      </c>
      <c r="C17" s="51">
        <v>200</v>
      </c>
      <c r="D17" s="52">
        <v>0.6</v>
      </c>
      <c r="E17" s="52">
        <v>0.4</v>
      </c>
      <c r="F17" s="52">
        <v>10.4</v>
      </c>
      <c r="G17" s="55">
        <f t="shared" si="2"/>
        <v>47.6</v>
      </c>
      <c r="H17" s="52">
        <v>0.02</v>
      </c>
      <c r="I17" s="52">
        <v>0.04</v>
      </c>
      <c r="J17" s="52">
        <v>3.4</v>
      </c>
      <c r="K17" s="52">
        <v>0</v>
      </c>
      <c r="L17" s="52">
        <v>0.4</v>
      </c>
      <c r="M17" s="52">
        <v>21.2</v>
      </c>
      <c r="N17" s="52">
        <v>22.6</v>
      </c>
      <c r="O17" s="52">
        <v>14.6</v>
      </c>
      <c r="P17" s="52">
        <v>3.2</v>
      </c>
      <c r="Q17" s="52">
        <v>0.12</v>
      </c>
      <c r="R17" s="52">
        <v>0</v>
      </c>
      <c r="S17" s="146"/>
      <c r="T17" s="155"/>
      <c r="U17" s="155"/>
      <c r="V17" s="155"/>
      <c r="W17" s="155"/>
      <c r="X17" s="155"/>
      <c r="Y17" s="155"/>
      <c r="Z17" s="155"/>
      <c r="AA17" s="155"/>
      <c r="AB17" s="155"/>
      <c r="AC17" s="155"/>
      <c r="AD17" s="155"/>
      <c r="AE17" s="155"/>
      <c r="AF17" s="155"/>
      <c r="AG17" s="155"/>
      <c r="AH17" s="155"/>
      <c r="AI17" s="155"/>
      <c r="AJ17" s="155"/>
      <c r="AK17" s="155"/>
      <c r="AL17" s="151"/>
    </row>
    <row r="18" spans="1:38" s="64" customFormat="1" ht="15.75" customHeight="1">
      <c r="A18" s="91"/>
      <c r="B18" s="51" t="s">
        <v>4</v>
      </c>
      <c r="C18" s="51">
        <v>25</v>
      </c>
      <c r="D18" s="46">
        <v>1.6875</v>
      </c>
      <c r="E18" s="46">
        <v>0.21499999999999997</v>
      </c>
      <c r="F18" s="46">
        <v>12.5375</v>
      </c>
      <c r="G18" s="55">
        <f t="shared" si="2"/>
        <v>58.835000000000001</v>
      </c>
      <c r="H18" s="46">
        <v>0.03</v>
      </c>
      <c r="I18" s="46">
        <v>6.2500000000000003E-3</v>
      </c>
      <c r="J18" s="46">
        <v>0</v>
      </c>
      <c r="K18" s="46">
        <v>0</v>
      </c>
      <c r="L18" s="46">
        <v>0.27500000000000002</v>
      </c>
      <c r="M18" s="46">
        <v>5</v>
      </c>
      <c r="N18" s="46">
        <v>16.25</v>
      </c>
      <c r="O18" s="46">
        <v>3.5</v>
      </c>
      <c r="P18" s="46">
        <v>0.27500000000000002</v>
      </c>
      <c r="Q18" s="46">
        <v>0.19</v>
      </c>
      <c r="R18" s="46">
        <v>0</v>
      </c>
      <c r="S18" s="122"/>
      <c r="T18" s="155"/>
      <c r="U18" s="155"/>
      <c r="V18" s="155"/>
      <c r="W18" s="155"/>
      <c r="X18" s="155"/>
      <c r="Y18" s="155"/>
      <c r="Z18" s="155"/>
      <c r="AA18" s="155"/>
      <c r="AB18" s="155"/>
      <c r="AC18" s="155"/>
      <c r="AD18" s="155"/>
      <c r="AE18" s="155"/>
      <c r="AF18" s="155"/>
      <c r="AG18" s="155"/>
      <c r="AH18" s="155"/>
      <c r="AI18" s="155"/>
      <c r="AJ18" s="155"/>
      <c r="AK18" s="155"/>
      <c r="AL18" s="123"/>
    </row>
    <row r="19" spans="1:38" s="62" customFormat="1" ht="15.75" customHeight="1">
      <c r="A19" s="91"/>
      <c r="B19" s="51" t="s">
        <v>128</v>
      </c>
      <c r="C19" s="51">
        <v>25</v>
      </c>
      <c r="D19" s="52">
        <v>1.6625000000000001</v>
      </c>
      <c r="E19" s="52">
        <v>0.3</v>
      </c>
      <c r="F19" s="52">
        <v>10.462499999999999</v>
      </c>
      <c r="G19" s="55">
        <f t="shared" si="2"/>
        <v>51.199999999999996</v>
      </c>
      <c r="H19" s="52">
        <v>0.13124999999999998</v>
      </c>
      <c r="I19" s="52">
        <v>8.7499999999999981E-2</v>
      </c>
      <c r="J19" s="52">
        <v>0.17499999999999996</v>
      </c>
      <c r="K19" s="52">
        <v>0</v>
      </c>
      <c r="L19" s="52">
        <v>0.13124999999999998</v>
      </c>
      <c r="M19" s="52">
        <v>31.937499999999996</v>
      </c>
      <c r="N19" s="52">
        <v>54.6875</v>
      </c>
      <c r="O19" s="52">
        <v>17.5</v>
      </c>
      <c r="P19" s="52">
        <v>1.2249999999999999</v>
      </c>
      <c r="Q19" s="52">
        <v>0.3</v>
      </c>
      <c r="R19" s="52">
        <v>0.02</v>
      </c>
      <c r="S19" s="146"/>
      <c r="T19" s="155"/>
      <c r="U19" s="155"/>
      <c r="V19" s="155"/>
      <c r="W19" s="155"/>
      <c r="X19" s="155"/>
      <c r="Y19" s="155"/>
      <c r="Z19" s="155"/>
      <c r="AA19" s="155"/>
      <c r="AB19" s="155"/>
      <c r="AC19" s="155"/>
      <c r="AD19" s="155"/>
      <c r="AE19" s="155"/>
      <c r="AF19" s="155"/>
      <c r="AG19" s="155"/>
      <c r="AH19" s="155"/>
      <c r="AI19" s="155"/>
      <c r="AJ19" s="155"/>
      <c r="AK19" s="155"/>
      <c r="AL19" s="151"/>
    </row>
    <row r="20" spans="1:38" s="52" customFormat="1" ht="15.75" customHeight="1">
      <c r="A20" s="93"/>
      <c r="B20" s="51" t="s">
        <v>123</v>
      </c>
      <c r="C20" s="51">
        <v>200</v>
      </c>
      <c r="D20" s="55">
        <f>2.9*2</f>
        <v>5.8</v>
      </c>
      <c r="E20" s="55">
        <f>2.5*2</f>
        <v>5</v>
      </c>
      <c r="F20" s="55">
        <f>4*2</f>
        <v>8</v>
      </c>
      <c r="G20" s="55">
        <f t="shared" si="2"/>
        <v>100.2</v>
      </c>
      <c r="H20" s="55">
        <f>0.04*0.75</f>
        <v>0.03</v>
      </c>
      <c r="I20" s="55">
        <v>0.26</v>
      </c>
      <c r="J20" s="55">
        <v>0.54</v>
      </c>
      <c r="K20" s="55">
        <v>0.36</v>
      </c>
      <c r="L20" s="55">
        <v>0</v>
      </c>
      <c r="M20" s="55">
        <v>223.2</v>
      </c>
      <c r="N20" s="55">
        <v>165.6</v>
      </c>
      <c r="O20" s="55">
        <v>25.2</v>
      </c>
      <c r="P20" s="55">
        <v>0.18</v>
      </c>
      <c r="Q20" s="52">
        <v>0.8</v>
      </c>
      <c r="R20" s="52">
        <v>0</v>
      </c>
      <c r="S20" s="144"/>
      <c r="T20" s="154"/>
      <c r="U20" s="154"/>
      <c r="V20" s="154"/>
      <c r="W20" s="154"/>
      <c r="X20" s="154"/>
      <c r="Y20" s="154"/>
      <c r="Z20" s="154"/>
      <c r="AA20" s="154"/>
      <c r="AB20" s="154"/>
      <c r="AC20" s="154"/>
      <c r="AD20" s="154"/>
      <c r="AE20" s="154"/>
      <c r="AF20" s="154"/>
      <c r="AG20" s="154"/>
      <c r="AH20" s="154"/>
      <c r="AI20" s="154"/>
      <c r="AJ20" s="154"/>
      <c r="AK20" s="154"/>
      <c r="AL20" s="149"/>
    </row>
    <row r="21" spans="1:38" s="52" customFormat="1" ht="15.75" customHeight="1">
      <c r="A21" s="93"/>
      <c r="S21" s="144"/>
      <c r="T21" s="154"/>
      <c r="U21" s="154"/>
      <c r="V21" s="154"/>
      <c r="W21" s="154"/>
      <c r="X21" s="154"/>
      <c r="Y21" s="154"/>
      <c r="Z21" s="154"/>
      <c r="AA21" s="154"/>
      <c r="AB21" s="154"/>
      <c r="AC21" s="154"/>
      <c r="AD21" s="154"/>
      <c r="AE21" s="154"/>
      <c r="AF21" s="154"/>
      <c r="AG21" s="154"/>
      <c r="AH21" s="154"/>
      <c r="AI21" s="154"/>
      <c r="AJ21" s="154"/>
      <c r="AK21" s="154"/>
      <c r="AL21" s="149"/>
    </row>
    <row r="22" spans="1:38" s="52" customFormat="1" ht="15.75" customHeight="1">
      <c r="A22" s="94"/>
      <c r="B22" s="65" t="s">
        <v>21</v>
      </c>
      <c r="C22" s="57">
        <f>SUM(C15:C20)</f>
        <v>685</v>
      </c>
      <c r="D22" s="57">
        <f>SUM(D15:D20)</f>
        <v>27.54970873786408</v>
      </c>
      <c r="E22" s="57">
        <f t="shared" ref="E22:R22" si="3">SUM(E15:E20)</f>
        <v>21.738611650485435</v>
      </c>
      <c r="F22" s="57">
        <f t="shared" si="3"/>
        <v>70.000077669902907</v>
      </c>
      <c r="G22" s="57">
        <f t="shared" si="3"/>
        <v>585.84665048543684</v>
      </c>
      <c r="H22" s="57">
        <f t="shared" si="3"/>
        <v>0.39905582524271843</v>
      </c>
      <c r="I22" s="57">
        <f t="shared" si="3"/>
        <v>0.6158082524271844</v>
      </c>
      <c r="J22" s="57">
        <f t="shared" si="3"/>
        <v>24.812087378640772</v>
      </c>
      <c r="K22" s="57">
        <f t="shared" si="3"/>
        <v>0.36</v>
      </c>
      <c r="L22" s="57">
        <f t="shared" si="3"/>
        <v>11.374211165048543</v>
      </c>
      <c r="M22" s="57">
        <f t="shared" si="3"/>
        <v>327.92235436893202</v>
      </c>
      <c r="N22" s="57">
        <f t="shared" si="3"/>
        <v>493.8089563106796</v>
      </c>
      <c r="O22" s="57">
        <f t="shared" si="3"/>
        <v>126.10291262135922</v>
      </c>
      <c r="P22" s="57">
        <f t="shared" si="3"/>
        <v>10.149359223300969</v>
      </c>
      <c r="Q22" s="57">
        <f t="shared" si="3"/>
        <v>4.8919999999999995</v>
      </c>
      <c r="R22" s="57">
        <f t="shared" si="3"/>
        <v>0.02</v>
      </c>
      <c r="S22" s="144"/>
      <c r="T22" s="154"/>
      <c r="U22" s="154"/>
      <c r="V22" s="154"/>
      <c r="W22" s="154"/>
      <c r="X22" s="154"/>
      <c r="Y22" s="154"/>
      <c r="Z22" s="154"/>
      <c r="AA22" s="154"/>
      <c r="AB22" s="154"/>
      <c r="AC22" s="154"/>
      <c r="AD22" s="154"/>
      <c r="AE22" s="154"/>
      <c r="AF22" s="154"/>
      <c r="AG22" s="154"/>
      <c r="AH22" s="154"/>
      <c r="AI22" s="154"/>
      <c r="AJ22" s="154"/>
      <c r="AK22" s="154"/>
      <c r="AL22" s="149"/>
    </row>
    <row r="23" spans="1:38" s="52" customFormat="1" ht="15.75" customHeight="1">
      <c r="A23" s="97"/>
      <c r="B23" s="58" t="s">
        <v>98</v>
      </c>
      <c r="C23" s="58"/>
      <c r="D23" s="59">
        <v>19.25</v>
      </c>
      <c r="E23" s="59">
        <v>19.75</v>
      </c>
      <c r="F23" s="59">
        <v>83.75</v>
      </c>
      <c r="G23" s="59">
        <v>587.5</v>
      </c>
      <c r="H23" s="59">
        <v>0.3</v>
      </c>
      <c r="I23" s="59">
        <v>0.35</v>
      </c>
      <c r="J23" s="59">
        <v>15</v>
      </c>
      <c r="K23" s="59">
        <v>0.17499999999999999</v>
      </c>
      <c r="L23" s="59">
        <v>2.5</v>
      </c>
      <c r="M23" s="59">
        <v>275</v>
      </c>
      <c r="N23" s="59">
        <v>412.5</v>
      </c>
      <c r="O23" s="59">
        <v>62.5</v>
      </c>
      <c r="P23" s="59">
        <v>3</v>
      </c>
      <c r="Q23" s="59">
        <v>2.5</v>
      </c>
      <c r="R23" s="59">
        <v>2.5000000000000001E-2</v>
      </c>
      <c r="S23" s="144"/>
      <c r="T23" s="154"/>
      <c r="U23" s="154"/>
      <c r="V23" s="154"/>
      <c r="W23" s="154"/>
      <c r="X23" s="154"/>
      <c r="Y23" s="154"/>
      <c r="Z23" s="154"/>
      <c r="AA23" s="154"/>
      <c r="AB23" s="154"/>
      <c r="AC23" s="154"/>
      <c r="AD23" s="154"/>
      <c r="AE23" s="154"/>
      <c r="AF23" s="154"/>
      <c r="AG23" s="154"/>
      <c r="AH23" s="154"/>
      <c r="AI23" s="154"/>
      <c r="AJ23" s="154"/>
      <c r="AK23" s="154"/>
      <c r="AL23" s="149"/>
    </row>
    <row r="24" spans="1:38" s="52" customFormat="1" ht="15.75" customHeight="1">
      <c r="A24" s="177" t="s">
        <v>111</v>
      </c>
      <c r="B24" s="178"/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144"/>
      <c r="T24" s="154"/>
      <c r="U24" s="154"/>
      <c r="V24" s="154"/>
      <c r="W24" s="154"/>
      <c r="X24" s="154"/>
      <c r="Y24" s="154"/>
      <c r="Z24" s="154"/>
      <c r="AA24" s="154"/>
      <c r="AB24" s="154"/>
      <c r="AC24" s="154"/>
      <c r="AD24" s="154"/>
      <c r="AE24" s="154"/>
      <c r="AF24" s="154"/>
      <c r="AG24" s="154"/>
      <c r="AH24" s="154"/>
      <c r="AI24" s="154"/>
      <c r="AJ24" s="154"/>
      <c r="AK24" s="154"/>
      <c r="AL24" s="149"/>
    </row>
    <row r="25" spans="1:38" ht="15.75" customHeight="1">
      <c r="A25" s="91"/>
      <c r="B25" s="51" t="s">
        <v>124</v>
      </c>
      <c r="C25" s="51">
        <v>80</v>
      </c>
      <c r="D25" s="46">
        <v>1.0507000000000002</v>
      </c>
      <c r="E25" s="46">
        <v>0.19152</v>
      </c>
      <c r="F25" s="46">
        <v>3.6388800000000003</v>
      </c>
      <c r="G25" s="46">
        <f>F25*4+E25*9+D25*4</f>
        <v>20.482000000000003</v>
      </c>
      <c r="H25" s="46">
        <v>6.3840000000000008E-2</v>
      </c>
      <c r="I25" s="46">
        <v>3.1920000000000004E-2</v>
      </c>
      <c r="J25" s="46">
        <v>16.757999999999999</v>
      </c>
      <c r="K25" s="46">
        <v>0</v>
      </c>
      <c r="L25" s="48">
        <v>0.66500000000000004</v>
      </c>
      <c r="M25" s="48">
        <v>13.406400000000001</v>
      </c>
      <c r="N25" s="48">
        <v>24.897600000000001</v>
      </c>
      <c r="O25" s="48">
        <v>19.152000000000001</v>
      </c>
      <c r="P25" s="48">
        <v>0.86184000000000005</v>
      </c>
      <c r="Q25" s="48">
        <v>0.13600000000000001</v>
      </c>
      <c r="R25" s="48">
        <v>0</v>
      </c>
    </row>
    <row r="26" spans="1:38" ht="15.75" customHeight="1">
      <c r="A26" s="91">
        <v>296</v>
      </c>
      <c r="B26" s="51" t="s">
        <v>86</v>
      </c>
      <c r="C26" s="51">
        <v>75</v>
      </c>
      <c r="D26" s="55">
        <v>9.5</v>
      </c>
      <c r="E26" s="55">
        <v>12.64</v>
      </c>
      <c r="F26" s="55">
        <v>9.73</v>
      </c>
      <c r="G26" s="46">
        <f t="shared" ref="G26:G31" si="4">F26*4+E26*9+D26*4</f>
        <v>190.68</v>
      </c>
      <c r="H26" s="55">
        <v>7.0000000000000007E-2</v>
      </c>
      <c r="I26" s="55">
        <v>0.14000000000000001</v>
      </c>
      <c r="J26" s="55">
        <v>0.51</v>
      </c>
      <c r="K26" s="55">
        <v>0.81</v>
      </c>
      <c r="L26" s="55">
        <v>2.2999999999999998</v>
      </c>
      <c r="M26" s="55">
        <v>78.2</v>
      </c>
      <c r="N26" s="55">
        <v>78.52</v>
      </c>
      <c r="O26" s="55">
        <v>16.16</v>
      </c>
      <c r="P26" s="55">
        <v>28.97</v>
      </c>
      <c r="Q26" s="52">
        <v>2</v>
      </c>
      <c r="R26" s="52">
        <v>0.1</v>
      </c>
      <c r="S26" s="144"/>
    </row>
    <row r="27" spans="1:38" ht="15.75" customHeight="1">
      <c r="A27" s="98">
        <v>302</v>
      </c>
      <c r="B27" s="51" t="s">
        <v>125</v>
      </c>
      <c r="C27" s="51">
        <v>130</v>
      </c>
      <c r="D27" s="52">
        <v>6.97</v>
      </c>
      <c r="E27" s="52">
        <v>3.5994999999999995</v>
      </c>
      <c r="F27" s="52">
        <v>33.484999999999999</v>
      </c>
      <c r="G27" s="46">
        <f t="shared" si="4"/>
        <v>194.21549999999999</v>
      </c>
      <c r="H27" s="52">
        <v>0.20699999999999999</v>
      </c>
      <c r="I27" s="52">
        <v>0.11499999999999999</v>
      </c>
      <c r="J27" s="52">
        <v>0</v>
      </c>
      <c r="K27" s="52">
        <v>0.4</v>
      </c>
      <c r="L27" s="52">
        <v>0.50600000000000001</v>
      </c>
      <c r="M27" s="52">
        <v>27.0825</v>
      </c>
      <c r="N27" s="52">
        <v>213.43999999999997</v>
      </c>
      <c r="O27" s="52">
        <v>142.48499999999999</v>
      </c>
      <c r="P27" s="52">
        <v>4.83</v>
      </c>
      <c r="Q27" s="52">
        <v>1.1000000000000001</v>
      </c>
      <c r="R27" s="52">
        <v>0</v>
      </c>
      <c r="S27" s="144"/>
    </row>
    <row r="28" spans="1:38" s="53" customFormat="1" ht="15.75" customHeight="1">
      <c r="A28" s="91" t="s">
        <v>95</v>
      </c>
      <c r="B28" s="51" t="s">
        <v>66</v>
      </c>
      <c r="C28" s="51">
        <v>200</v>
      </c>
      <c r="D28" s="52">
        <v>2.9</v>
      </c>
      <c r="E28" s="52">
        <v>2.5</v>
      </c>
      <c r="F28" s="52">
        <v>14.7</v>
      </c>
      <c r="G28" s="46">
        <f t="shared" si="4"/>
        <v>92.899999999999991</v>
      </c>
      <c r="H28" s="52">
        <v>0.02</v>
      </c>
      <c r="I28" s="52">
        <v>0.13</v>
      </c>
      <c r="J28" s="52">
        <v>0.6</v>
      </c>
      <c r="K28" s="52">
        <v>0.1</v>
      </c>
      <c r="L28" s="52">
        <v>0.1</v>
      </c>
      <c r="M28" s="52">
        <v>120.3</v>
      </c>
      <c r="N28" s="52">
        <v>90</v>
      </c>
      <c r="O28" s="52">
        <v>14</v>
      </c>
      <c r="P28" s="52">
        <v>0.13</v>
      </c>
      <c r="Q28" s="52">
        <v>0.4</v>
      </c>
      <c r="R28" s="52">
        <v>0</v>
      </c>
      <c r="S28" s="144"/>
      <c r="T28" s="154"/>
      <c r="U28" s="154"/>
      <c r="V28" s="154"/>
      <c r="W28" s="154"/>
      <c r="X28" s="154"/>
      <c r="Y28" s="154"/>
      <c r="Z28" s="154"/>
      <c r="AA28" s="154"/>
      <c r="AB28" s="154"/>
      <c r="AC28" s="154"/>
      <c r="AD28" s="154"/>
      <c r="AE28" s="154"/>
      <c r="AF28" s="154"/>
      <c r="AG28" s="154"/>
      <c r="AH28" s="154"/>
      <c r="AI28" s="154"/>
      <c r="AJ28" s="154"/>
      <c r="AK28" s="154"/>
      <c r="AL28" s="148"/>
    </row>
    <row r="29" spans="1:38" ht="15.75" customHeight="1">
      <c r="A29" s="91"/>
      <c r="B29" s="51" t="s">
        <v>4</v>
      </c>
      <c r="C29" s="51">
        <v>25</v>
      </c>
      <c r="D29" s="46">
        <v>1.6875</v>
      </c>
      <c r="E29" s="46">
        <v>0.21499999999999997</v>
      </c>
      <c r="F29" s="46">
        <v>12.5375</v>
      </c>
      <c r="G29" s="46">
        <f t="shared" si="4"/>
        <v>58.835000000000001</v>
      </c>
      <c r="H29" s="46">
        <v>0.03</v>
      </c>
      <c r="I29" s="46">
        <v>6.2500000000000003E-3</v>
      </c>
      <c r="J29" s="46">
        <v>0</v>
      </c>
      <c r="K29" s="46">
        <v>0</v>
      </c>
      <c r="L29" s="46">
        <v>0.27500000000000002</v>
      </c>
      <c r="M29" s="46">
        <v>5</v>
      </c>
      <c r="N29" s="46">
        <v>16.25</v>
      </c>
      <c r="O29" s="46">
        <v>3.5</v>
      </c>
      <c r="P29" s="46">
        <v>0.27500000000000002</v>
      </c>
      <c r="Q29" s="46">
        <v>0.19</v>
      </c>
      <c r="R29" s="46">
        <v>0</v>
      </c>
      <c r="S29" s="144"/>
    </row>
    <row r="30" spans="1:38" s="52" customFormat="1" ht="15.75" customHeight="1">
      <c r="A30" s="91"/>
      <c r="B30" s="51" t="s">
        <v>128</v>
      </c>
      <c r="C30" s="51">
        <v>25</v>
      </c>
      <c r="D30" s="52">
        <v>1.6625000000000001</v>
      </c>
      <c r="E30" s="52">
        <v>0.3</v>
      </c>
      <c r="F30" s="52">
        <v>10.462499999999999</v>
      </c>
      <c r="G30" s="46">
        <f t="shared" si="4"/>
        <v>51.199999999999996</v>
      </c>
      <c r="H30" s="52">
        <v>0.13124999999999998</v>
      </c>
      <c r="I30" s="52">
        <v>8.7499999999999981E-2</v>
      </c>
      <c r="J30" s="52">
        <v>0.17499999999999996</v>
      </c>
      <c r="K30" s="52">
        <v>0</v>
      </c>
      <c r="L30" s="52">
        <v>0.13124999999999998</v>
      </c>
      <c r="M30" s="52">
        <v>31.937499999999996</v>
      </c>
      <c r="N30" s="52">
        <v>54.6875</v>
      </c>
      <c r="O30" s="52">
        <v>17.5</v>
      </c>
      <c r="P30" s="52">
        <v>1.2249999999999999</v>
      </c>
      <c r="Q30" s="52">
        <v>0.3</v>
      </c>
      <c r="R30" s="52">
        <v>0.01</v>
      </c>
      <c r="S30" s="144"/>
      <c r="T30" s="154"/>
      <c r="U30" s="154"/>
      <c r="V30" s="154"/>
      <c r="W30" s="154"/>
      <c r="X30" s="154"/>
      <c r="Y30" s="154"/>
      <c r="Z30" s="154"/>
      <c r="AA30" s="154"/>
      <c r="AB30" s="154"/>
      <c r="AC30" s="154"/>
      <c r="AD30" s="154"/>
      <c r="AE30" s="154"/>
      <c r="AF30" s="154"/>
      <c r="AG30" s="154"/>
      <c r="AH30" s="154"/>
      <c r="AI30" s="154"/>
      <c r="AJ30" s="154"/>
      <c r="AK30" s="154"/>
      <c r="AL30" s="149"/>
    </row>
    <row r="31" spans="1:38" ht="15.75" customHeight="1">
      <c r="A31" s="91"/>
      <c r="B31" s="51" t="s">
        <v>126</v>
      </c>
      <c r="C31" s="51">
        <v>150</v>
      </c>
      <c r="D31" s="52">
        <v>0.75301204819277112</v>
      </c>
      <c r="E31" s="52">
        <v>0</v>
      </c>
      <c r="F31" s="52">
        <v>15.210843373493976</v>
      </c>
      <c r="G31" s="46">
        <f t="shared" si="4"/>
        <v>63.855421686746986</v>
      </c>
      <c r="H31" s="52">
        <v>1.5060240963855423E-2</v>
      </c>
      <c r="I31" s="52">
        <v>1.5060240963855423E-2</v>
      </c>
      <c r="J31" s="52">
        <v>3.0120481927710845</v>
      </c>
      <c r="K31" s="52">
        <v>0</v>
      </c>
      <c r="L31" s="52">
        <v>0.15060240963855423</v>
      </c>
      <c r="M31" s="52">
        <v>10.542168674698795</v>
      </c>
      <c r="N31" s="52">
        <v>10.542168674698795</v>
      </c>
      <c r="O31" s="52">
        <v>6.024096385542169</v>
      </c>
      <c r="P31" s="52">
        <v>2.1084337349397591</v>
      </c>
      <c r="Q31" s="52">
        <v>0.03</v>
      </c>
      <c r="R31" s="52">
        <v>0</v>
      </c>
      <c r="S31" s="144"/>
    </row>
    <row r="32" spans="1:38" s="52" customFormat="1" ht="15.75" customHeight="1">
      <c r="A32" s="91"/>
      <c r="S32" s="144"/>
      <c r="T32" s="154"/>
      <c r="U32" s="154"/>
      <c r="V32" s="154"/>
      <c r="W32" s="154"/>
      <c r="X32" s="154"/>
      <c r="Y32" s="154"/>
      <c r="Z32" s="154"/>
      <c r="AA32" s="154"/>
      <c r="AB32" s="154"/>
      <c r="AC32" s="154"/>
      <c r="AD32" s="154"/>
      <c r="AE32" s="154"/>
      <c r="AF32" s="154"/>
      <c r="AG32" s="154"/>
      <c r="AH32" s="154"/>
      <c r="AI32" s="154"/>
      <c r="AJ32" s="154"/>
      <c r="AK32" s="154"/>
      <c r="AL32" s="149"/>
    </row>
    <row r="33" spans="1:38" s="52" customFormat="1" ht="15.75" customHeight="1">
      <c r="A33" s="94"/>
      <c r="B33" s="56" t="s">
        <v>21</v>
      </c>
      <c r="C33" s="57">
        <f>SUM(C25:C31)</f>
        <v>685</v>
      </c>
      <c r="D33" s="57">
        <f>SUM(D25:D31)</f>
        <v>24.523712048192774</v>
      </c>
      <c r="E33" s="57">
        <f t="shared" ref="E33:R33" si="5">SUM(E25:E31)</f>
        <v>19.446020000000001</v>
      </c>
      <c r="F33" s="57">
        <f t="shared" si="5"/>
        <v>99.764723373493965</v>
      </c>
      <c r="G33" s="57">
        <f t="shared" si="5"/>
        <v>672.16792168674704</v>
      </c>
      <c r="H33" s="57">
        <f t="shared" si="5"/>
        <v>0.53715024096385544</v>
      </c>
      <c r="I33" s="57">
        <f t="shared" si="5"/>
        <v>0.52573024096385534</v>
      </c>
      <c r="J33" s="57">
        <f t="shared" si="5"/>
        <v>21.055048192771089</v>
      </c>
      <c r="K33" s="57">
        <f t="shared" si="5"/>
        <v>1.31</v>
      </c>
      <c r="L33" s="57">
        <f t="shared" si="5"/>
        <v>4.127852409638554</v>
      </c>
      <c r="M33" s="57">
        <f t="shared" si="5"/>
        <v>286.46856867469882</v>
      </c>
      <c r="N33" s="57">
        <f t="shared" si="5"/>
        <v>488.33726867469875</v>
      </c>
      <c r="O33" s="57">
        <f t="shared" si="5"/>
        <v>218.82109638554215</v>
      </c>
      <c r="P33" s="57">
        <f t="shared" si="5"/>
        <v>38.400273734939759</v>
      </c>
      <c r="Q33" s="57">
        <f t="shared" si="5"/>
        <v>4.1560000000000006</v>
      </c>
      <c r="R33" s="57">
        <f t="shared" si="5"/>
        <v>0.11</v>
      </c>
      <c r="S33" s="144"/>
      <c r="T33" s="154"/>
      <c r="U33" s="154"/>
      <c r="V33" s="154"/>
      <c r="W33" s="154"/>
      <c r="X33" s="154"/>
      <c r="Y33" s="154"/>
      <c r="Z33" s="154"/>
      <c r="AA33" s="154"/>
      <c r="AB33" s="154"/>
      <c r="AC33" s="154"/>
      <c r="AD33" s="154"/>
      <c r="AE33" s="154"/>
      <c r="AF33" s="154"/>
      <c r="AG33" s="154"/>
      <c r="AH33" s="154"/>
      <c r="AI33" s="154"/>
      <c r="AJ33" s="154"/>
      <c r="AK33" s="154"/>
      <c r="AL33" s="149"/>
    </row>
    <row r="34" spans="1:38" s="52" customFormat="1" ht="15.75" customHeight="1">
      <c r="A34" s="97"/>
      <c r="B34" s="58" t="s">
        <v>98</v>
      </c>
      <c r="C34" s="58"/>
      <c r="D34" s="59">
        <v>19.25</v>
      </c>
      <c r="E34" s="59">
        <v>19.75</v>
      </c>
      <c r="F34" s="59">
        <v>83.75</v>
      </c>
      <c r="G34" s="59">
        <v>587.5</v>
      </c>
      <c r="H34" s="59">
        <v>0.3</v>
      </c>
      <c r="I34" s="59">
        <v>0.35</v>
      </c>
      <c r="J34" s="59">
        <v>15</v>
      </c>
      <c r="K34" s="59">
        <v>0.17499999999999999</v>
      </c>
      <c r="L34" s="59">
        <v>2.5</v>
      </c>
      <c r="M34" s="59">
        <v>275</v>
      </c>
      <c r="N34" s="59">
        <v>412.5</v>
      </c>
      <c r="O34" s="59">
        <v>62.5</v>
      </c>
      <c r="P34" s="59">
        <v>3</v>
      </c>
      <c r="Q34" s="59">
        <v>2.5</v>
      </c>
      <c r="R34" s="59">
        <v>2.5000000000000001E-2</v>
      </c>
      <c r="S34" s="144"/>
      <c r="T34" s="154"/>
      <c r="U34" s="154"/>
      <c r="V34" s="154"/>
      <c r="W34" s="154"/>
      <c r="X34" s="154"/>
      <c r="Y34" s="154"/>
      <c r="Z34" s="154"/>
      <c r="AA34" s="154"/>
      <c r="AB34" s="154"/>
      <c r="AC34" s="154"/>
      <c r="AD34" s="154"/>
      <c r="AE34" s="154"/>
      <c r="AF34" s="154"/>
      <c r="AG34" s="154"/>
      <c r="AH34" s="154"/>
      <c r="AI34" s="154"/>
      <c r="AJ34" s="154"/>
      <c r="AK34" s="154"/>
      <c r="AL34" s="149"/>
    </row>
    <row r="35" spans="1:38" s="64" customFormat="1" ht="15.75" customHeight="1">
      <c r="A35" s="177" t="s">
        <v>112</v>
      </c>
      <c r="B35" s="178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146"/>
      <c r="T35" s="155"/>
      <c r="U35" s="155"/>
      <c r="V35" s="155"/>
      <c r="W35" s="155"/>
      <c r="X35" s="155"/>
      <c r="Y35" s="155"/>
      <c r="Z35" s="155"/>
      <c r="AA35" s="155"/>
      <c r="AB35" s="155"/>
      <c r="AC35" s="155"/>
      <c r="AD35" s="155"/>
      <c r="AE35" s="155"/>
      <c r="AF35" s="155"/>
      <c r="AG35" s="155"/>
      <c r="AH35" s="155"/>
      <c r="AI35" s="155"/>
      <c r="AJ35" s="155"/>
      <c r="AK35" s="155"/>
      <c r="AL35" s="123"/>
    </row>
    <row r="36" spans="1:38" ht="15.75" customHeight="1">
      <c r="A36" s="91"/>
      <c r="B36" s="51" t="s">
        <v>127</v>
      </c>
      <c r="C36" s="51">
        <v>80</v>
      </c>
      <c r="D36" s="52">
        <v>1.0507000000000002</v>
      </c>
      <c r="E36" s="52">
        <v>0.19152</v>
      </c>
      <c r="F36" s="52">
        <v>3.6388800000000003</v>
      </c>
      <c r="G36" s="52">
        <f>F36*4+E36*9+D36*4</f>
        <v>20.482000000000003</v>
      </c>
      <c r="H36" s="52">
        <v>6.3840000000000008E-2</v>
      </c>
      <c r="I36" s="52">
        <v>3.1920000000000004E-2</v>
      </c>
      <c r="J36" s="52">
        <v>16.757999999999999</v>
      </c>
      <c r="K36" s="52">
        <v>0</v>
      </c>
      <c r="L36" s="52">
        <v>0.66500000000000004</v>
      </c>
      <c r="M36" s="52">
        <v>13.406400000000001</v>
      </c>
      <c r="N36" s="52">
        <v>24.897600000000001</v>
      </c>
      <c r="O36" s="52">
        <v>19.152000000000001</v>
      </c>
      <c r="P36" s="52">
        <v>0.86184000000000005</v>
      </c>
      <c r="Q36" s="48">
        <v>0.13600000000000001</v>
      </c>
      <c r="R36" s="48">
        <v>0</v>
      </c>
      <c r="S36" s="144"/>
    </row>
    <row r="37" spans="1:38" s="53" customFormat="1" ht="15.75" customHeight="1">
      <c r="A37" s="91" t="s">
        <v>106</v>
      </c>
      <c r="B37" s="51" t="s">
        <v>105</v>
      </c>
      <c r="C37" s="51">
        <v>110</v>
      </c>
      <c r="D37" s="46">
        <f>6.4+1.33</f>
        <v>7.73</v>
      </c>
      <c r="E37" s="46">
        <f>4.08+4.61</f>
        <v>8.6900000000000013</v>
      </c>
      <c r="F37" s="46">
        <f>5.8+4.9</f>
        <v>10.7</v>
      </c>
      <c r="G37" s="52">
        <f t="shared" ref="G37:G41" si="6">F37*4+E37*9+D37*4</f>
        <v>151.93</v>
      </c>
      <c r="H37" s="46">
        <v>5.6000000000000001E-2</v>
      </c>
      <c r="I37" s="46">
        <v>0.08</v>
      </c>
      <c r="J37" s="46">
        <f>2.67+0.16</f>
        <v>2.83</v>
      </c>
      <c r="K37" s="46">
        <v>0.41</v>
      </c>
      <c r="L37" s="46">
        <v>0</v>
      </c>
      <c r="M37" s="46">
        <f>35.72+33.4</f>
        <v>69.12</v>
      </c>
      <c r="N37" s="46">
        <f>61.69+29.09</f>
        <v>90.78</v>
      </c>
      <c r="O37" s="46">
        <f>14.12+5.84</f>
        <v>19.96</v>
      </c>
      <c r="P37" s="46">
        <f>0.372+0.14</f>
        <v>0.51200000000000001</v>
      </c>
      <c r="Q37" s="52">
        <f>0.48+0.2</f>
        <v>0.67999999999999994</v>
      </c>
      <c r="R37" s="52">
        <v>0.1</v>
      </c>
      <c r="S37" s="144"/>
      <c r="T37" s="154"/>
      <c r="U37" s="154"/>
      <c r="V37" s="154"/>
      <c r="W37" s="154"/>
      <c r="X37" s="154"/>
      <c r="Y37" s="154"/>
      <c r="Z37" s="154"/>
      <c r="AA37" s="154"/>
      <c r="AB37" s="154"/>
      <c r="AC37" s="154"/>
      <c r="AD37" s="154"/>
      <c r="AE37" s="154"/>
      <c r="AF37" s="154"/>
      <c r="AG37" s="154"/>
      <c r="AH37" s="154"/>
      <c r="AI37" s="154"/>
      <c r="AJ37" s="154"/>
      <c r="AK37" s="154"/>
      <c r="AL37" s="148"/>
    </row>
    <row r="38" spans="1:38" ht="15.75" customHeight="1">
      <c r="A38" s="91">
        <v>312</v>
      </c>
      <c r="B38" s="51" t="s">
        <v>75</v>
      </c>
      <c r="C38" s="51">
        <v>150</v>
      </c>
      <c r="D38" s="52">
        <v>3.4577999999999998</v>
      </c>
      <c r="E38" s="52">
        <v>5.4239999999999995</v>
      </c>
      <c r="F38" s="52">
        <v>23.051999999999996</v>
      </c>
      <c r="G38" s="52">
        <f t="shared" si="6"/>
        <v>154.85519999999997</v>
      </c>
      <c r="H38" s="52">
        <v>0.15820000000000001</v>
      </c>
      <c r="I38" s="52">
        <v>0.12429999999999999</v>
      </c>
      <c r="J38" s="52">
        <v>20.452999999999999</v>
      </c>
      <c r="K38" s="52">
        <v>0</v>
      </c>
      <c r="L38" s="52">
        <v>0.20339999999999997</v>
      </c>
      <c r="M38" s="52">
        <v>41.696999999999996</v>
      </c>
      <c r="N38" s="52">
        <v>97.74499999999999</v>
      </c>
      <c r="O38" s="52">
        <v>31.357499999999998</v>
      </c>
      <c r="P38" s="52">
        <v>1.1413</v>
      </c>
      <c r="Q38" s="52">
        <v>0.64</v>
      </c>
      <c r="R38" s="52">
        <v>1E-3</v>
      </c>
      <c r="S38" s="144"/>
    </row>
    <row r="39" spans="1:38" s="52" customFormat="1" ht="15.75" customHeight="1">
      <c r="A39" s="91">
        <v>377</v>
      </c>
      <c r="B39" s="51" t="s">
        <v>38</v>
      </c>
      <c r="C39" s="51">
        <v>200</v>
      </c>
      <c r="D39" s="55">
        <v>0.13</v>
      </c>
      <c r="E39" s="55">
        <v>1.8000000000000002E-2</v>
      </c>
      <c r="F39" s="55">
        <f>15.2-4.95</f>
        <v>10.25</v>
      </c>
      <c r="G39" s="52">
        <f t="shared" si="6"/>
        <v>41.682000000000002</v>
      </c>
      <c r="H39" s="55">
        <v>0</v>
      </c>
      <c r="I39" s="55">
        <v>0</v>
      </c>
      <c r="J39" s="55">
        <v>2.83</v>
      </c>
      <c r="K39" s="55">
        <v>0</v>
      </c>
      <c r="L39" s="55">
        <v>0.05</v>
      </c>
      <c r="M39" s="55">
        <v>14.05</v>
      </c>
      <c r="N39" s="55">
        <v>4.4000000000000004</v>
      </c>
      <c r="O39" s="55">
        <v>2.4</v>
      </c>
      <c r="P39" s="55">
        <v>0.38</v>
      </c>
      <c r="Q39" s="55">
        <v>0.02</v>
      </c>
      <c r="R39" s="52">
        <v>0</v>
      </c>
      <c r="S39" s="144"/>
      <c r="T39" s="154"/>
      <c r="U39" s="154"/>
      <c r="V39" s="154"/>
      <c r="W39" s="154"/>
      <c r="X39" s="154"/>
      <c r="Y39" s="154"/>
      <c r="Z39" s="154"/>
      <c r="AA39" s="154"/>
      <c r="AB39" s="154"/>
      <c r="AC39" s="154"/>
      <c r="AD39" s="154"/>
      <c r="AE39" s="154"/>
      <c r="AF39" s="154"/>
      <c r="AG39" s="154"/>
      <c r="AH39" s="154"/>
      <c r="AI39" s="154"/>
      <c r="AJ39" s="154"/>
      <c r="AK39" s="154"/>
      <c r="AL39" s="149"/>
    </row>
    <row r="40" spans="1:38" s="52" customFormat="1" ht="15.75" customHeight="1">
      <c r="A40" s="91"/>
      <c r="B40" s="51" t="s">
        <v>128</v>
      </c>
      <c r="C40" s="51">
        <v>25</v>
      </c>
      <c r="D40" s="52">
        <v>1.6625000000000001</v>
      </c>
      <c r="E40" s="52">
        <v>0.3</v>
      </c>
      <c r="F40" s="52">
        <v>10.462499999999999</v>
      </c>
      <c r="G40" s="52">
        <f t="shared" si="6"/>
        <v>51.199999999999996</v>
      </c>
      <c r="H40" s="52">
        <v>0.13124999999999998</v>
      </c>
      <c r="I40" s="52">
        <v>8.7499999999999981E-2</v>
      </c>
      <c r="J40" s="52">
        <v>0.17499999999999996</v>
      </c>
      <c r="K40" s="52">
        <v>0</v>
      </c>
      <c r="L40" s="52">
        <v>0.13124999999999998</v>
      </c>
      <c r="M40" s="52">
        <v>31.937499999999996</v>
      </c>
      <c r="N40" s="52">
        <v>54.6875</v>
      </c>
      <c r="O40" s="52">
        <v>17.5</v>
      </c>
      <c r="P40" s="52">
        <v>1.2249999999999999</v>
      </c>
      <c r="Q40" s="52">
        <v>0.3</v>
      </c>
      <c r="R40" s="52">
        <v>0.02</v>
      </c>
      <c r="S40" s="144"/>
      <c r="T40" s="154"/>
      <c r="U40" s="154"/>
      <c r="V40" s="154"/>
      <c r="W40" s="154"/>
      <c r="X40" s="154"/>
      <c r="Y40" s="154"/>
      <c r="Z40" s="154"/>
      <c r="AA40" s="154"/>
      <c r="AB40" s="154"/>
      <c r="AC40" s="154"/>
      <c r="AD40" s="154"/>
      <c r="AE40" s="154"/>
      <c r="AF40" s="154"/>
      <c r="AG40" s="154"/>
      <c r="AH40" s="154"/>
      <c r="AI40" s="154"/>
      <c r="AJ40" s="154"/>
      <c r="AK40" s="154"/>
      <c r="AL40" s="149"/>
    </row>
    <row r="41" spans="1:38" s="52" customFormat="1" ht="15.75" customHeight="1">
      <c r="A41" s="93" t="s">
        <v>39</v>
      </c>
      <c r="B41" s="51" t="s">
        <v>94</v>
      </c>
      <c r="C41" s="51">
        <v>50</v>
      </c>
      <c r="D41" s="52">
        <v>3.1</v>
      </c>
      <c r="E41" s="55">
        <v>4.3</v>
      </c>
      <c r="F41" s="55">
        <v>23.8</v>
      </c>
      <c r="G41" s="52">
        <f t="shared" si="6"/>
        <v>146.30000000000001</v>
      </c>
      <c r="H41" s="55">
        <v>5.5E-2</v>
      </c>
      <c r="I41" s="55">
        <v>4.8000000000000001E-2</v>
      </c>
      <c r="J41" s="55">
        <v>1.7</v>
      </c>
      <c r="K41" s="55">
        <v>0.62</v>
      </c>
      <c r="L41" s="55">
        <v>0.60499999999999998</v>
      </c>
      <c r="M41" s="55">
        <v>26.7</v>
      </c>
      <c r="N41" s="55">
        <v>40.4</v>
      </c>
      <c r="O41" s="55">
        <v>7.3</v>
      </c>
      <c r="P41" s="55">
        <v>0.17199999999999999</v>
      </c>
      <c r="Q41" s="55">
        <v>0.25480000000000003</v>
      </c>
      <c r="R41" s="52">
        <v>0</v>
      </c>
      <c r="S41" s="144"/>
      <c r="T41" s="154"/>
      <c r="U41" s="154"/>
      <c r="V41" s="154"/>
      <c r="W41" s="154"/>
      <c r="X41" s="154"/>
      <c r="Y41" s="154"/>
      <c r="Z41" s="154"/>
      <c r="AA41" s="154"/>
      <c r="AB41" s="154"/>
      <c r="AC41" s="154"/>
      <c r="AD41" s="154"/>
      <c r="AE41" s="154"/>
      <c r="AF41" s="154"/>
      <c r="AG41" s="154"/>
      <c r="AH41" s="154"/>
      <c r="AI41" s="154"/>
      <c r="AJ41" s="154"/>
      <c r="AK41" s="154"/>
      <c r="AL41" s="149"/>
    </row>
    <row r="42" spans="1:38" s="52" customFormat="1" ht="15.75" customHeight="1">
      <c r="A42" s="91"/>
      <c r="S42" s="144"/>
      <c r="T42" s="154"/>
      <c r="U42" s="154"/>
      <c r="V42" s="154"/>
      <c r="W42" s="154"/>
      <c r="X42" s="154"/>
      <c r="Y42" s="154"/>
      <c r="Z42" s="154"/>
      <c r="AA42" s="154"/>
      <c r="AB42" s="154"/>
      <c r="AC42" s="154"/>
      <c r="AD42" s="154"/>
      <c r="AE42" s="154"/>
      <c r="AF42" s="154"/>
      <c r="AG42" s="154"/>
      <c r="AH42" s="154"/>
      <c r="AI42" s="154"/>
      <c r="AJ42" s="154"/>
      <c r="AK42" s="154"/>
      <c r="AL42" s="149"/>
    </row>
    <row r="43" spans="1:38" ht="15.75" customHeight="1">
      <c r="A43" s="94"/>
      <c r="B43" s="56" t="s">
        <v>21</v>
      </c>
      <c r="C43" s="57">
        <f t="shared" ref="C43:R43" si="7">SUM(C36:C41)</f>
        <v>615</v>
      </c>
      <c r="D43" s="57">
        <f t="shared" si="7"/>
        <v>17.131000000000004</v>
      </c>
      <c r="E43" s="57">
        <f t="shared" si="7"/>
        <v>18.923520000000003</v>
      </c>
      <c r="F43" s="57">
        <f t="shared" si="7"/>
        <v>81.903379999999999</v>
      </c>
      <c r="G43" s="57">
        <f t="shared" si="7"/>
        <v>566.44920000000002</v>
      </c>
      <c r="H43" s="57">
        <f t="shared" si="7"/>
        <v>0.46428999999999998</v>
      </c>
      <c r="I43" s="57">
        <f t="shared" si="7"/>
        <v>0.37171999999999994</v>
      </c>
      <c r="J43" s="57">
        <f t="shared" si="7"/>
        <v>44.745999999999995</v>
      </c>
      <c r="K43" s="57">
        <f t="shared" si="7"/>
        <v>1.03</v>
      </c>
      <c r="L43" s="57">
        <f t="shared" si="7"/>
        <v>1.6546500000000002</v>
      </c>
      <c r="M43" s="57">
        <f t="shared" si="7"/>
        <v>196.9109</v>
      </c>
      <c r="N43" s="57">
        <f t="shared" si="7"/>
        <v>312.91009999999994</v>
      </c>
      <c r="O43" s="57">
        <f t="shared" si="7"/>
        <v>97.669499999999999</v>
      </c>
      <c r="P43" s="57">
        <f t="shared" si="7"/>
        <v>4.292139999999999</v>
      </c>
      <c r="Q43" s="57">
        <f t="shared" si="7"/>
        <v>2.0308000000000002</v>
      </c>
      <c r="R43" s="57">
        <f t="shared" si="7"/>
        <v>0.12100000000000001</v>
      </c>
      <c r="S43" s="144"/>
    </row>
    <row r="44" spans="1:38" ht="15.75" customHeight="1">
      <c r="A44" s="97"/>
      <c r="B44" s="58" t="s">
        <v>98</v>
      </c>
      <c r="C44" s="58"/>
      <c r="D44" s="59">
        <v>19.25</v>
      </c>
      <c r="E44" s="59">
        <v>19.75</v>
      </c>
      <c r="F44" s="59">
        <v>83.75</v>
      </c>
      <c r="G44" s="59">
        <v>587.5</v>
      </c>
      <c r="H44" s="59">
        <v>0.3</v>
      </c>
      <c r="I44" s="59">
        <v>0.35</v>
      </c>
      <c r="J44" s="59">
        <v>15</v>
      </c>
      <c r="K44" s="59">
        <v>0.17499999999999999</v>
      </c>
      <c r="L44" s="59">
        <v>2.5</v>
      </c>
      <c r="M44" s="59">
        <v>275</v>
      </c>
      <c r="N44" s="59">
        <v>412.5</v>
      </c>
      <c r="O44" s="59">
        <v>62.5</v>
      </c>
      <c r="P44" s="59">
        <v>3</v>
      </c>
      <c r="Q44" s="59">
        <v>2.5</v>
      </c>
      <c r="R44" s="59">
        <v>2.5000000000000001E-2</v>
      </c>
      <c r="S44" s="144"/>
    </row>
    <row r="45" spans="1:38" ht="15.75" customHeight="1">
      <c r="A45" s="177" t="s">
        <v>113</v>
      </c>
      <c r="B45" s="178"/>
      <c r="C45" s="49"/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49"/>
      <c r="S45" s="144"/>
    </row>
    <row r="46" spans="1:38" s="52" customFormat="1" ht="15.75" customHeight="1">
      <c r="A46" s="98"/>
      <c r="B46" s="61" t="s">
        <v>129</v>
      </c>
      <c r="C46" s="61">
        <v>70</v>
      </c>
      <c r="D46" s="52">
        <v>0.48719999999999997</v>
      </c>
      <c r="E46" s="52">
        <v>6.9599999999999995E-2</v>
      </c>
      <c r="F46" s="52">
        <v>1.3223999999999998</v>
      </c>
      <c r="G46" s="52">
        <f>F46*4+E46*9+D46*4</f>
        <v>7.8647999999999989</v>
      </c>
      <c r="H46" s="52">
        <v>2.3199999999999998E-2</v>
      </c>
      <c r="I46" s="52">
        <v>1.1599999999999999E-2</v>
      </c>
      <c r="J46" s="52">
        <v>3.4103999999999997</v>
      </c>
      <c r="K46" s="52">
        <v>0</v>
      </c>
      <c r="L46" s="52">
        <v>6.9599999999999995E-2</v>
      </c>
      <c r="M46" s="52">
        <v>11.831999999999999</v>
      </c>
      <c r="N46" s="52">
        <v>20.88</v>
      </c>
      <c r="O46" s="52">
        <v>9.7439999999999998</v>
      </c>
      <c r="P46" s="52">
        <v>0.34799999999999998</v>
      </c>
      <c r="Q46" s="52">
        <v>0.11</v>
      </c>
      <c r="R46" s="52">
        <v>0</v>
      </c>
      <c r="S46" s="144"/>
      <c r="T46" s="154"/>
      <c r="U46" s="154"/>
      <c r="V46" s="154"/>
      <c r="W46" s="154"/>
      <c r="X46" s="154"/>
      <c r="Y46" s="154"/>
      <c r="Z46" s="154"/>
      <c r="AA46" s="154"/>
      <c r="AB46" s="154"/>
      <c r="AC46" s="154"/>
      <c r="AD46" s="154"/>
      <c r="AE46" s="154"/>
      <c r="AF46" s="154"/>
      <c r="AG46" s="154"/>
      <c r="AH46" s="154"/>
      <c r="AI46" s="154"/>
      <c r="AJ46" s="154"/>
      <c r="AK46" s="154"/>
      <c r="AL46" s="149"/>
    </row>
    <row r="47" spans="1:38" s="53" customFormat="1" ht="15.75" customHeight="1">
      <c r="A47" s="91">
        <v>212</v>
      </c>
      <c r="B47" s="51" t="s">
        <v>96</v>
      </c>
      <c r="C47" s="51">
        <v>150</v>
      </c>
      <c r="D47" s="52">
        <v>15.771800000000001</v>
      </c>
      <c r="E47" s="52">
        <v>30.409400000000005</v>
      </c>
      <c r="F47" s="52">
        <v>2.7178</v>
      </c>
      <c r="G47" s="52">
        <f t="shared" ref="G47:G51" si="8">F47*4+E47*9+D47*4</f>
        <v>347.64300000000003</v>
      </c>
      <c r="H47" s="52">
        <v>0.14980000000000002</v>
      </c>
      <c r="I47" s="52">
        <v>0.47080000000000005</v>
      </c>
      <c r="J47" s="52">
        <v>0.21400000000000002</v>
      </c>
      <c r="K47" s="52">
        <v>2.88</v>
      </c>
      <c r="L47" s="52">
        <v>7.8</v>
      </c>
      <c r="M47" s="52">
        <v>95.444000000000003</v>
      </c>
      <c r="N47" s="52">
        <v>245.244</v>
      </c>
      <c r="O47" s="52">
        <v>20.0518</v>
      </c>
      <c r="P47" s="52">
        <v>2.7820000000000005</v>
      </c>
      <c r="Q47" s="52">
        <v>1.72</v>
      </c>
      <c r="R47" s="52">
        <v>0.01</v>
      </c>
      <c r="S47" s="144"/>
      <c r="T47" s="154"/>
      <c r="U47" s="154"/>
      <c r="V47" s="154"/>
      <c r="W47" s="154"/>
      <c r="X47" s="154"/>
      <c r="Y47" s="154"/>
      <c r="Z47" s="154"/>
      <c r="AA47" s="154"/>
      <c r="AB47" s="154"/>
      <c r="AC47" s="154"/>
      <c r="AD47" s="154"/>
      <c r="AE47" s="154"/>
      <c r="AF47" s="154"/>
      <c r="AG47" s="154"/>
      <c r="AH47" s="154"/>
      <c r="AI47" s="154"/>
      <c r="AJ47" s="154"/>
      <c r="AK47" s="154"/>
      <c r="AL47" s="148"/>
    </row>
    <row r="48" spans="1:38" s="52" customFormat="1" ht="15.75" customHeight="1">
      <c r="A48" s="91"/>
      <c r="B48" s="51" t="s">
        <v>92</v>
      </c>
      <c r="C48" s="51">
        <v>200</v>
      </c>
      <c r="D48" s="52">
        <v>0.6</v>
      </c>
      <c r="E48" s="52">
        <v>0.4</v>
      </c>
      <c r="F48" s="52">
        <v>10.4</v>
      </c>
      <c r="G48" s="52">
        <f t="shared" si="8"/>
        <v>47.6</v>
      </c>
      <c r="H48" s="52">
        <v>0.02</v>
      </c>
      <c r="I48" s="52">
        <v>0.04</v>
      </c>
      <c r="J48" s="52">
        <v>3.4</v>
      </c>
      <c r="K48" s="52">
        <v>0</v>
      </c>
      <c r="L48" s="52">
        <v>0.4</v>
      </c>
      <c r="M48" s="52">
        <v>21.2</v>
      </c>
      <c r="N48" s="52">
        <v>22.6</v>
      </c>
      <c r="O48" s="52">
        <v>14.6</v>
      </c>
      <c r="P48" s="52">
        <v>3.2</v>
      </c>
      <c r="Q48" s="52">
        <v>0.12</v>
      </c>
      <c r="R48" s="52">
        <v>0</v>
      </c>
      <c r="S48" s="144"/>
      <c r="T48" s="154"/>
      <c r="U48" s="154"/>
      <c r="V48" s="154"/>
      <c r="W48" s="154"/>
      <c r="X48" s="154"/>
      <c r="Y48" s="154"/>
      <c r="Z48" s="154"/>
      <c r="AA48" s="154"/>
      <c r="AB48" s="154"/>
      <c r="AC48" s="154"/>
      <c r="AD48" s="154"/>
      <c r="AE48" s="154"/>
      <c r="AF48" s="154"/>
      <c r="AG48" s="154"/>
      <c r="AH48" s="154"/>
      <c r="AI48" s="154"/>
      <c r="AJ48" s="154"/>
      <c r="AK48" s="154"/>
      <c r="AL48" s="149"/>
    </row>
    <row r="49" spans="1:38" s="52" customFormat="1" ht="15.75" customHeight="1">
      <c r="A49" s="99"/>
      <c r="B49" s="51" t="s">
        <v>4</v>
      </c>
      <c r="C49" s="51">
        <v>40</v>
      </c>
      <c r="D49" s="52">
        <f>1.35*2</f>
        <v>2.7</v>
      </c>
      <c r="E49" s="52">
        <f>0.172*2</f>
        <v>0.34399999999999997</v>
      </c>
      <c r="F49" s="52">
        <f>10.03*2</f>
        <v>20.059999999999999</v>
      </c>
      <c r="G49" s="52">
        <f t="shared" si="8"/>
        <v>94.135999999999996</v>
      </c>
      <c r="H49" s="52">
        <v>2.4E-2</v>
      </c>
      <c r="I49" s="52">
        <v>5.0000000000000001E-3</v>
      </c>
      <c r="J49" s="52">
        <v>0</v>
      </c>
      <c r="K49" s="52">
        <v>0</v>
      </c>
      <c r="L49" s="52">
        <v>0.42</v>
      </c>
      <c r="M49" s="52">
        <v>8</v>
      </c>
      <c r="N49" s="52">
        <v>26</v>
      </c>
      <c r="O49" s="52">
        <v>5.6</v>
      </c>
      <c r="P49" s="52">
        <v>0.4</v>
      </c>
      <c r="Q49" s="52">
        <v>0.3</v>
      </c>
      <c r="R49" s="52">
        <v>0</v>
      </c>
      <c r="S49" s="144"/>
      <c r="T49" s="154"/>
      <c r="U49" s="154"/>
      <c r="V49" s="154"/>
      <c r="W49" s="154"/>
      <c r="X49" s="154"/>
      <c r="Y49" s="154"/>
      <c r="Z49" s="154"/>
      <c r="AA49" s="154"/>
      <c r="AB49" s="154"/>
      <c r="AC49" s="154"/>
      <c r="AD49" s="154"/>
      <c r="AE49" s="154"/>
      <c r="AF49" s="154"/>
      <c r="AG49" s="154"/>
      <c r="AH49" s="154"/>
      <c r="AI49" s="154"/>
      <c r="AJ49" s="154"/>
      <c r="AK49" s="154"/>
      <c r="AL49" s="149"/>
    </row>
    <row r="50" spans="1:38" s="52" customFormat="1" ht="15.75" customHeight="1">
      <c r="A50" s="100"/>
      <c r="B50" s="51" t="s">
        <v>128</v>
      </c>
      <c r="C50" s="51">
        <v>25</v>
      </c>
      <c r="D50" s="52">
        <v>1.6625000000000001</v>
      </c>
      <c r="E50" s="52">
        <v>0.3</v>
      </c>
      <c r="F50" s="52">
        <v>10.462499999999999</v>
      </c>
      <c r="G50" s="52">
        <f t="shared" si="8"/>
        <v>51.199999999999996</v>
      </c>
      <c r="H50" s="52">
        <v>0.13124999999999998</v>
      </c>
      <c r="I50" s="52">
        <v>8.7499999999999981E-2</v>
      </c>
      <c r="J50" s="52">
        <v>0.17499999999999996</v>
      </c>
      <c r="K50" s="52">
        <v>0</v>
      </c>
      <c r="L50" s="52">
        <v>0.13124999999999998</v>
      </c>
      <c r="M50" s="52">
        <v>31.937499999999996</v>
      </c>
      <c r="N50" s="52">
        <v>54.6875</v>
      </c>
      <c r="O50" s="52">
        <v>17.5</v>
      </c>
      <c r="P50" s="52">
        <v>1.2249999999999999</v>
      </c>
      <c r="Q50" s="52">
        <v>0.3</v>
      </c>
      <c r="R50" s="52">
        <v>0.02</v>
      </c>
      <c r="S50" s="144"/>
      <c r="T50" s="154"/>
      <c r="U50" s="154"/>
      <c r="V50" s="154"/>
      <c r="W50" s="154"/>
      <c r="X50" s="154"/>
      <c r="Y50" s="154"/>
      <c r="Z50" s="154"/>
      <c r="AA50" s="154"/>
      <c r="AB50" s="154"/>
      <c r="AC50" s="154"/>
      <c r="AD50" s="154"/>
      <c r="AE50" s="154"/>
      <c r="AF50" s="154"/>
      <c r="AG50" s="154"/>
      <c r="AH50" s="154"/>
      <c r="AI50" s="154"/>
      <c r="AJ50" s="154"/>
      <c r="AK50" s="154"/>
      <c r="AL50" s="149"/>
    </row>
    <row r="51" spans="1:38" s="52" customFormat="1" ht="15.75" customHeight="1">
      <c r="A51" s="91">
        <v>368</v>
      </c>
      <c r="B51" s="51" t="s">
        <v>136</v>
      </c>
      <c r="C51" s="51">
        <v>120</v>
      </c>
      <c r="D51" s="55">
        <v>0.5</v>
      </c>
      <c r="E51" s="55">
        <v>0.5</v>
      </c>
      <c r="F51" s="55">
        <v>12.8</v>
      </c>
      <c r="G51" s="52">
        <f t="shared" si="8"/>
        <v>57.7</v>
      </c>
      <c r="H51" s="55">
        <v>0.04</v>
      </c>
      <c r="I51" s="55">
        <v>0.01</v>
      </c>
      <c r="J51" s="55">
        <v>5</v>
      </c>
      <c r="K51" s="55">
        <v>0</v>
      </c>
      <c r="L51" s="55">
        <v>0.33</v>
      </c>
      <c r="M51" s="55">
        <v>25</v>
      </c>
      <c r="N51" s="55">
        <v>18.3</v>
      </c>
      <c r="O51" s="55">
        <v>14.16</v>
      </c>
      <c r="P51" s="55">
        <v>0.5</v>
      </c>
      <c r="Q51" s="52">
        <v>0.48</v>
      </c>
      <c r="R51" s="52">
        <v>1.0000000000000001E-5</v>
      </c>
      <c r="S51" s="144"/>
      <c r="T51" s="154"/>
      <c r="U51" s="154"/>
      <c r="V51" s="154"/>
      <c r="W51" s="154"/>
      <c r="X51" s="154"/>
      <c r="Y51" s="154"/>
      <c r="Z51" s="154"/>
      <c r="AA51" s="154"/>
      <c r="AB51" s="154"/>
      <c r="AC51" s="154"/>
      <c r="AD51" s="154"/>
      <c r="AE51" s="154"/>
      <c r="AF51" s="154"/>
      <c r="AG51" s="154"/>
      <c r="AH51" s="154"/>
      <c r="AI51" s="154"/>
      <c r="AJ51" s="154"/>
      <c r="AK51" s="154"/>
      <c r="AL51" s="149"/>
    </row>
    <row r="52" spans="1:38" s="52" customFormat="1" ht="15.75" customHeight="1">
      <c r="A52" s="91"/>
      <c r="S52" s="144"/>
      <c r="T52" s="154"/>
      <c r="U52" s="154"/>
      <c r="V52" s="154"/>
      <c r="W52" s="154"/>
      <c r="X52" s="154"/>
      <c r="Y52" s="154"/>
      <c r="Z52" s="154"/>
      <c r="AA52" s="154"/>
      <c r="AB52" s="154"/>
      <c r="AC52" s="154"/>
      <c r="AD52" s="154"/>
      <c r="AE52" s="154"/>
      <c r="AF52" s="154"/>
      <c r="AG52" s="154"/>
      <c r="AH52" s="154"/>
      <c r="AI52" s="154"/>
      <c r="AJ52" s="154"/>
      <c r="AK52" s="154"/>
      <c r="AL52" s="149"/>
    </row>
    <row r="53" spans="1:38" ht="15.75" customHeight="1">
      <c r="A53" s="94"/>
      <c r="B53" s="56" t="s">
        <v>21</v>
      </c>
      <c r="C53" s="57">
        <f>SUM(C46:C51)</f>
        <v>605</v>
      </c>
      <c r="D53" s="57">
        <f t="shared" ref="D53:R53" si="9">SUM(D46:D51)</f>
        <v>21.721500000000002</v>
      </c>
      <c r="E53" s="57">
        <f t="shared" si="9"/>
        <v>32.02300000000001</v>
      </c>
      <c r="F53" s="57">
        <f t="shared" si="9"/>
        <v>57.762699999999995</v>
      </c>
      <c r="G53" s="57">
        <f t="shared" si="9"/>
        <v>606.14380000000017</v>
      </c>
      <c r="H53" s="57">
        <f t="shared" si="9"/>
        <v>0.38824999999999993</v>
      </c>
      <c r="I53" s="57">
        <f t="shared" si="9"/>
        <v>0.62490000000000012</v>
      </c>
      <c r="J53" s="57">
        <f t="shared" si="9"/>
        <v>12.199400000000001</v>
      </c>
      <c r="K53" s="57">
        <f t="shared" si="9"/>
        <v>2.88</v>
      </c>
      <c r="L53" s="57">
        <f t="shared" si="9"/>
        <v>9.1508500000000002</v>
      </c>
      <c r="M53" s="57">
        <f t="shared" si="9"/>
        <v>193.4135</v>
      </c>
      <c r="N53" s="57">
        <f t="shared" si="9"/>
        <v>387.71150000000006</v>
      </c>
      <c r="O53" s="57">
        <f t="shared" si="9"/>
        <v>81.655799999999999</v>
      </c>
      <c r="P53" s="57">
        <f t="shared" si="9"/>
        <v>8.4550000000000001</v>
      </c>
      <c r="Q53" s="57">
        <f t="shared" si="9"/>
        <v>3.03</v>
      </c>
      <c r="R53" s="57">
        <f t="shared" si="9"/>
        <v>3.0009999999999998E-2</v>
      </c>
      <c r="S53" s="144"/>
    </row>
    <row r="54" spans="1:38" s="52" customFormat="1" ht="15.75" customHeight="1">
      <c r="A54" s="93"/>
      <c r="B54" s="58" t="s">
        <v>98</v>
      </c>
      <c r="C54" s="58"/>
      <c r="D54" s="59">
        <v>19.25</v>
      </c>
      <c r="E54" s="59">
        <v>19.75</v>
      </c>
      <c r="F54" s="59">
        <v>83.75</v>
      </c>
      <c r="G54" s="59">
        <v>587.5</v>
      </c>
      <c r="H54" s="59">
        <v>0.3</v>
      </c>
      <c r="I54" s="59">
        <v>0.35</v>
      </c>
      <c r="J54" s="59">
        <v>15</v>
      </c>
      <c r="K54" s="59">
        <v>0.17499999999999999</v>
      </c>
      <c r="L54" s="59">
        <v>2.5</v>
      </c>
      <c r="M54" s="59">
        <v>275</v>
      </c>
      <c r="N54" s="59">
        <v>412.5</v>
      </c>
      <c r="O54" s="59">
        <v>62.5</v>
      </c>
      <c r="P54" s="59">
        <v>3</v>
      </c>
      <c r="Q54" s="59">
        <v>2.5</v>
      </c>
      <c r="R54" s="59">
        <v>2.5000000000000001E-2</v>
      </c>
      <c r="S54" s="144"/>
      <c r="T54" s="154"/>
      <c r="U54" s="154"/>
      <c r="V54" s="154"/>
      <c r="W54" s="154"/>
      <c r="X54" s="154"/>
      <c r="Y54" s="154"/>
      <c r="Z54" s="154"/>
      <c r="AA54" s="154"/>
      <c r="AB54" s="154"/>
      <c r="AC54" s="154"/>
      <c r="AD54" s="154"/>
      <c r="AE54" s="154"/>
      <c r="AF54" s="154"/>
      <c r="AG54" s="154"/>
      <c r="AH54" s="154"/>
      <c r="AI54" s="154"/>
      <c r="AJ54" s="154"/>
      <c r="AK54" s="154"/>
      <c r="AL54" s="149"/>
    </row>
    <row r="55" spans="1:38" s="53" customFormat="1" ht="15.75" customHeight="1">
      <c r="A55" s="177" t="s">
        <v>114</v>
      </c>
      <c r="B55" s="178"/>
      <c r="C55" s="49"/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144"/>
      <c r="T55" s="154"/>
      <c r="U55" s="154"/>
      <c r="V55" s="154"/>
      <c r="W55" s="154"/>
      <c r="X55" s="154"/>
      <c r="Y55" s="154"/>
      <c r="Z55" s="154"/>
      <c r="AA55" s="154"/>
      <c r="AB55" s="154"/>
      <c r="AC55" s="154"/>
      <c r="AD55" s="154"/>
      <c r="AE55" s="154"/>
      <c r="AF55" s="154"/>
      <c r="AG55" s="154"/>
      <c r="AH55" s="154"/>
      <c r="AI55" s="154"/>
      <c r="AJ55" s="154"/>
      <c r="AK55" s="154"/>
      <c r="AL55" s="148"/>
    </row>
    <row r="56" spans="1:38" ht="15.75" customHeight="1">
      <c r="A56" s="91"/>
      <c r="B56" s="51" t="s">
        <v>120</v>
      </c>
      <c r="C56" s="51">
        <v>60</v>
      </c>
      <c r="D56" s="55">
        <v>0.42</v>
      </c>
      <c r="E56" s="55">
        <v>0.06</v>
      </c>
      <c r="F56" s="55">
        <v>1.1399999999999999</v>
      </c>
      <c r="G56" s="55">
        <f>F56*4+E56*9+D56*4</f>
        <v>6.7799999999999994</v>
      </c>
      <c r="H56" s="55">
        <v>0.02</v>
      </c>
      <c r="I56" s="55">
        <v>0.01</v>
      </c>
      <c r="J56" s="55">
        <v>2.94</v>
      </c>
      <c r="K56" s="55">
        <v>0</v>
      </c>
      <c r="L56" s="55">
        <v>0.06</v>
      </c>
      <c r="M56" s="55">
        <v>10.199999999999999</v>
      </c>
      <c r="N56" s="55">
        <v>18</v>
      </c>
      <c r="O56" s="55">
        <v>8.4</v>
      </c>
      <c r="P56" s="55">
        <v>0.3</v>
      </c>
      <c r="Q56" s="52">
        <v>0.10199999999999999</v>
      </c>
      <c r="R56" s="52">
        <v>0</v>
      </c>
      <c r="S56" s="144"/>
    </row>
    <row r="57" spans="1:38" ht="15.75" customHeight="1">
      <c r="A57" s="91">
        <v>269</v>
      </c>
      <c r="B57" s="51" t="s">
        <v>88</v>
      </c>
      <c r="C57" s="51">
        <f>50*1.4</f>
        <v>70</v>
      </c>
      <c r="D57" s="46">
        <v>7.1495327102803738</v>
      </c>
      <c r="E57" s="46">
        <v>9.3925233644859816</v>
      </c>
      <c r="F57" s="46">
        <v>7.2336448598130838</v>
      </c>
      <c r="G57" s="46">
        <v>142.06542056074767</v>
      </c>
      <c r="H57" s="46">
        <v>8.4112149532710276E-2</v>
      </c>
      <c r="I57" s="46">
        <v>8.4112149532710276E-2</v>
      </c>
      <c r="J57" s="46">
        <v>0.12616822429906543</v>
      </c>
      <c r="K57" s="46">
        <v>0.1</v>
      </c>
      <c r="L57" s="46">
        <v>0.42056074766355139</v>
      </c>
      <c r="M57" s="46">
        <v>20.579439252336446</v>
      </c>
      <c r="N57" s="46">
        <v>87.588785046728972</v>
      </c>
      <c r="O57" s="46">
        <v>16.355140186915886</v>
      </c>
      <c r="P57" s="46">
        <v>1.1869158878504673</v>
      </c>
      <c r="Q57" s="46">
        <v>2.3199999999999998</v>
      </c>
      <c r="R57" s="46">
        <v>0</v>
      </c>
      <c r="S57" s="107"/>
    </row>
    <row r="58" spans="1:38" s="52" customFormat="1" ht="15.75" customHeight="1">
      <c r="A58" s="98" t="s">
        <v>70</v>
      </c>
      <c r="B58" s="61" t="s">
        <v>71</v>
      </c>
      <c r="C58" s="61">
        <v>160</v>
      </c>
      <c r="D58" s="52">
        <v>2.69</v>
      </c>
      <c r="E58" s="52">
        <v>5</v>
      </c>
      <c r="F58" s="52">
        <v>13.1</v>
      </c>
      <c r="G58" s="52">
        <v>216.3</v>
      </c>
      <c r="H58" s="52">
        <v>0.08</v>
      </c>
      <c r="I58" s="52">
        <v>0.08</v>
      </c>
      <c r="J58" s="52">
        <v>19.059999999999999</v>
      </c>
      <c r="K58" s="52">
        <v>0.7</v>
      </c>
      <c r="L58" s="52">
        <v>0</v>
      </c>
      <c r="M58" s="52">
        <v>56.6</v>
      </c>
      <c r="N58" s="52">
        <v>68.56</v>
      </c>
      <c r="O58" s="52">
        <v>24.7</v>
      </c>
      <c r="P58" s="52">
        <v>0.91</v>
      </c>
      <c r="Q58" s="52">
        <v>0.43</v>
      </c>
      <c r="R58" s="52">
        <v>0</v>
      </c>
      <c r="S58" s="144"/>
      <c r="T58" s="154"/>
      <c r="U58" s="154"/>
      <c r="V58" s="154"/>
      <c r="W58" s="154"/>
      <c r="X58" s="154"/>
      <c r="Y58" s="154"/>
      <c r="Z58" s="154"/>
      <c r="AA58" s="154"/>
      <c r="AB58" s="154"/>
      <c r="AC58" s="154"/>
      <c r="AD58" s="154"/>
      <c r="AE58" s="154"/>
      <c r="AF58" s="154"/>
      <c r="AG58" s="154"/>
      <c r="AH58" s="154"/>
      <c r="AI58" s="154"/>
      <c r="AJ58" s="154"/>
      <c r="AK58" s="154"/>
      <c r="AL58" s="149"/>
    </row>
    <row r="59" spans="1:38" s="52" customFormat="1" ht="15.75" customHeight="1">
      <c r="A59" s="91"/>
      <c r="B59" s="51" t="s">
        <v>90</v>
      </c>
      <c r="C59" s="51">
        <v>200</v>
      </c>
      <c r="D59" s="55">
        <v>6.3000000000000014E-2</v>
      </c>
      <c r="E59" s="55">
        <v>1.8000000000000002E-2</v>
      </c>
      <c r="F59" s="55">
        <f>10.4</f>
        <v>10.4</v>
      </c>
      <c r="G59" s="55">
        <v>35.5</v>
      </c>
      <c r="H59" s="55">
        <v>0</v>
      </c>
      <c r="I59" s="55">
        <v>0</v>
      </c>
      <c r="J59" s="55">
        <v>2.7E-2</v>
      </c>
      <c r="K59" s="55">
        <v>0</v>
      </c>
      <c r="L59" s="55">
        <v>0</v>
      </c>
      <c r="M59" s="55">
        <v>11.1</v>
      </c>
      <c r="N59" s="55">
        <v>2.8</v>
      </c>
      <c r="O59" s="55">
        <v>1.4</v>
      </c>
      <c r="P59" s="55">
        <f>12.1-0.045</f>
        <v>12.055</v>
      </c>
      <c r="Q59" s="55">
        <v>0.02</v>
      </c>
      <c r="R59" s="52">
        <v>0</v>
      </c>
      <c r="S59" s="144"/>
      <c r="T59" s="154"/>
      <c r="U59" s="154"/>
      <c r="V59" s="154"/>
      <c r="W59" s="154"/>
      <c r="X59" s="154"/>
      <c r="Y59" s="154"/>
      <c r="Z59" s="154"/>
      <c r="AA59" s="154"/>
      <c r="AB59" s="154"/>
      <c r="AC59" s="154"/>
      <c r="AD59" s="154"/>
      <c r="AE59" s="154"/>
      <c r="AF59" s="154"/>
      <c r="AG59" s="154"/>
      <c r="AH59" s="154"/>
      <c r="AI59" s="154"/>
      <c r="AJ59" s="154"/>
      <c r="AK59" s="154"/>
      <c r="AL59" s="149"/>
    </row>
    <row r="60" spans="1:38" s="52" customFormat="1" ht="15.75" customHeight="1">
      <c r="A60" s="91"/>
      <c r="B60" s="51" t="s">
        <v>128</v>
      </c>
      <c r="C60" s="51">
        <v>25</v>
      </c>
      <c r="D60" s="52">
        <v>1.6625000000000001</v>
      </c>
      <c r="E60" s="52">
        <v>0.3</v>
      </c>
      <c r="F60" s="52">
        <v>10.462499999999999</v>
      </c>
      <c r="G60" s="52">
        <v>51.2</v>
      </c>
      <c r="H60" s="52">
        <v>0.13124999999999998</v>
      </c>
      <c r="I60" s="52">
        <v>8.7499999999999981E-2</v>
      </c>
      <c r="J60" s="52">
        <v>0.17499999999999996</v>
      </c>
      <c r="K60" s="52">
        <v>0</v>
      </c>
      <c r="L60" s="52">
        <v>0.13124999999999998</v>
      </c>
      <c r="M60" s="52">
        <v>31.937499999999996</v>
      </c>
      <c r="N60" s="52">
        <v>54.6875</v>
      </c>
      <c r="O60" s="52">
        <v>17.5</v>
      </c>
      <c r="P60" s="52">
        <v>1.2249999999999999</v>
      </c>
      <c r="Q60" s="52">
        <v>0.3</v>
      </c>
      <c r="R60" s="52">
        <v>0.02</v>
      </c>
      <c r="S60" s="144"/>
      <c r="T60" s="154"/>
      <c r="U60" s="154"/>
      <c r="V60" s="154"/>
      <c r="W60" s="154"/>
      <c r="X60" s="154"/>
      <c r="Y60" s="154"/>
      <c r="Z60" s="154"/>
      <c r="AA60" s="154"/>
      <c r="AB60" s="154"/>
      <c r="AC60" s="154"/>
      <c r="AD60" s="154"/>
      <c r="AE60" s="154"/>
      <c r="AF60" s="154"/>
      <c r="AG60" s="154"/>
      <c r="AH60" s="154"/>
      <c r="AI60" s="154"/>
      <c r="AJ60" s="154"/>
      <c r="AK60" s="154"/>
      <c r="AL60" s="149"/>
    </row>
    <row r="61" spans="1:38" s="52" customFormat="1" ht="15.75" customHeight="1">
      <c r="A61" s="99"/>
      <c r="B61" s="51" t="s">
        <v>4</v>
      </c>
      <c r="C61" s="51">
        <v>40</v>
      </c>
      <c r="D61" s="52">
        <f>1.35*2</f>
        <v>2.7</v>
      </c>
      <c r="E61" s="52">
        <f>0.172*2</f>
        <v>0.34399999999999997</v>
      </c>
      <c r="F61" s="52">
        <f>10.03*2</f>
        <v>20.059999999999999</v>
      </c>
      <c r="G61" s="52">
        <f t="shared" ref="G61" si="10">F61*4+E61*9+D61*4</f>
        <v>94.135999999999996</v>
      </c>
      <c r="H61" s="52">
        <v>2.4E-2</v>
      </c>
      <c r="I61" s="52">
        <v>5.0000000000000001E-3</v>
      </c>
      <c r="J61" s="52">
        <v>0</v>
      </c>
      <c r="K61" s="52">
        <v>0</v>
      </c>
      <c r="L61" s="52">
        <v>0.42</v>
      </c>
      <c r="M61" s="52">
        <v>8</v>
      </c>
      <c r="N61" s="52">
        <v>26</v>
      </c>
      <c r="O61" s="52">
        <v>5.6</v>
      </c>
      <c r="P61" s="52">
        <v>0.4</v>
      </c>
      <c r="Q61" s="52">
        <v>0.3</v>
      </c>
      <c r="R61" s="52">
        <v>0</v>
      </c>
      <c r="S61" s="144"/>
      <c r="T61" s="154"/>
      <c r="U61" s="154"/>
      <c r="V61" s="154"/>
      <c r="W61" s="154"/>
      <c r="X61" s="154"/>
      <c r="Y61" s="154"/>
      <c r="Z61" s="154"/>
      <c r="AA61" s="154"/>
      <c r="AB61" s="154"/>
      <c r="AC61" s="154"/>
      <c r="AD61" s="154"/>
      <c r="AE61" s="154"/>
      <c r="AF61" s="154"/>
      <c r="AG61" s="154"/>
      <c r="AH61" s="154"/>
      <c r="AI61" s="154"/>
      <c r="AJ61" s="154"/>
      <c r="AK61" s="154"/>
      <c r="AL61" s="149"/>
    </row>
    <row r="62" spans="1:38" s="52" customFormat="1" ht="15.75" customHeight="1">
      <c r="A62" s="91"/>
      <c r="B62" s="51" t="s">
        <v>137</v>
      </c>
      <c r="C62" s="51">
        <v>200</v>
      </c>
      <c r="D62" s="52">
        <v>1.0015060240963856</v>
      </c>
      <c r="E62" s="52">
        <v>0</v>
      </c>
      <c r="F62" s="52">
        <v>20.23042168674699</v>
      </c>
      <c r="G62" s="52">
        <v>84.927710843373504</v>
      </c>
      <c r="H62" s="52">
        <v>2.0030120481927715E-2</v>
      </c>
      <c r="I62" s="52">
        <v>2.0030120481927715E-2</v>
      </c>
      <c r="J62" s="52">
        <v>4.0060240963855422</v>
      </c>
      <c r="K62" s="52">
        <v>0</v>
      </c>
      <c r="L62" s="52">
        <v>0.20030120481927713</v>
      </c>
      <c r="M62" s="52">
        <v>14.021084337349398</v>
      </c>
      <c r="N62" s="52">
        <v>14.021084337349398</v>
      </c>
      <c r="O62" s="52">
        <v>8.0120481927710845</v>
      </c>
      <c r="P62" s="52">
        <v>2.8042168674698797</v>
      </c>
      <c r="Q62" s="52">
        <v>0.04</v>
      </c>
      <c r="R62" s="52">
        <v>0</v>
      </c>
      <c r="S62" s="144"/>
      <c r="T62" s="154"/>
      <c r="U62" s="154"/>
      <c r="V62" s="154"/>
      <c r="W62" s="154"/>
      <c r="X62" s="154"/>
      <c r="Y62" s="154"/>
      <c r="Z62" s="154"/>
      <c r="AA62" s="154"/>
      <c r="AB62" s="154"/>
      <c r="AC62" s="154"/>
      <c r="AD62" s="154"/>
      <c r="AE62" s="154"/>
      <c r="AF62" s="154"/>
      <c r="AG62" s="154"/>
      <c r="AH62" s="154"/>
      <c r="AI62" s="154"/>
      <c r="AJ62" s="154"/>
      <c r="AK62" s="154"/>
      <c r="AL62" s="149"/>
    </row>
    <row r="63" spans="1:38" s="52" customFormat="1" ht="15.75" customHeight="1">
      <c r="A63" s="91"/>
      <c r="S63" s="144"/>
      <c r="T63" s="154"/>
      <c r="U63" s="154"/>
      <c r="V63" s="154"/>
      <c r="W63" s="154"/>
      <c r="X63" s="154"/>
      <c r="Y63" s="154"/>
      <c r="Z63" s="154"/>
      <c r="AA63" s="154"/>
      <c r="AB63" s="154"/>
      <c r="AC63" s="154"/>
      <c r="AD63" s="154"/>
      <c r="AE63" s="154"/>
      <c r="AF63" s="154"/>
      <c r="AG63" s="154"/>
      <c r="AH63" s="154"/>
      <c r="AI63" s="154"/>
      <c r="AJ63" s="154"/>
      <c r="AK63" s="154"/>
      <c r="AL63" s="149"/>
    </row>
    <row r="64" spans="1:38" ht="15.75" customHeight="1">
      <c r="A64" s="94"/>
      <c r="B64" s="56" t="s">
        <v>21</v>
      </c>
      <c r="C64" s="57">
        <f>SUM(C56:C62)</f>
        <v>755</v>
      </c>
      <c r="D64" s="57">
        <f t="shared" ref="D64:R64" si="11">SUM(D56:D62)</f>
        <v>15.686538734376761</v>
      </c>
      <c r="E64" s="57">
        <f t="shared" si="11"/>
        <v>15.114523364485983</v>
      </c>
      <c r="F64" s="57">
        <f t="shared" si="11"/>
        <v>82.62656654656007</v>
      </c>
      <c r="G64" s="57">
        <f t="shared" si="11"/>
        <v>630.90913140412113</v>
      </c>
      <c r="H64" s="57">
        <f t="shared" si="11"/>
        <v>0.35939227001463797</v>
      </c>
      <c r="I64" s="57">
        <f t="shared" si="11"/>
        <v>0.28664227001463793</v>
      </c>
      <c r="J64" s="57">
        <f t="shared" si="11"/>
        <v>26.334192320684608</v>
      </c>
      <c r="K64" s="57">
        <f t="shared" si="11"/>
        <v>0.79999999999999993</v>
      </c>
      <c r="L64" s="57">
        <f t="shared" si="11"/>
        <v>1.2321119524828286</v>
      </c>
      <c r="M64" s="57">
        <f t="shared" si="11"/>
        <v>152.43802358968586</v>
      </c>
      <c r="N64" s="57">
        <f t="shared" si="11"/>
        <v>271.65736938407838</v>
      </c>
      <c r="O64" s="57">
        <f t="shared" si="11"/>
        <v>81.967188379686974</v>
      </c>
      <c r="P64" s="57">
        <f t="shared" si="11"/>
        <v>18.881132755320344</v>
      </c>
      <c r="Q64" s="57">
        <f t="shared" si="11"/>
        <v>3.5119999999999996</v>
      </c>
      <c r="R64" s="57">
        <f t="shared" si="11"/>
        <v>0.02</v>
      </c>
      <c r="S64" s="144"/>
    </row>
    <row r="65" spans="1:38" ht="15.75" customHeight="1">
      <c r="A65" s="91"/>
      <c r="B65" s="58" t="s">
        <v>98</v>
      </c>
      <c r="C65" s="58"/>
      <c r="D65" s="59">
        <v>19.25</v>
      </c>
      <c r="E65" s="59">
        <v>19.75</v>
      </c>
      <c r="F65" s="59">
        <v>83.75</v>
      </c>
      <c r="G65" s="59">
        <v>587.5</v>
      </c>
      <c r="H65" s="59">
        <v>0.3</v>
      </c>
      <c r="I65" s="59">
        <v>0.35</v>
      </c>
      <c r="J65" s="59">
        <v>15</v>
      </c>
      <c r="K65" s="59">
        <v>0.17499999999999999</v>
      </c>
      <c r="L65" s="59">
        <v>2.5</v>
      </c>
      <c r="M65" s="59">
        <v>275</v>
      </c>
      <c r="N65" s="59">
        <v>412.5</v>
      </c>
      <c r="O65" s="59">
        <v>62.5</v>
      </c>
      <c r="P65" s="59">
        <v>3</v>
      </c>
      <c r="Q65" s="59">
        <v>2.5</v>
      </c>
      <c r="R65" s="59">
        <v>2.5000000000000001E-2</v>
      </c>
      <c r="S65" s="144"/>
    </row>
    <row r="66" spans="1:38" s="53" customFormat="1" ht="15.75" customHeight="1">
      <c r="A66" s="177" t="s">
        <v>115</v>
      </c>
      <c r="B66" s="178"/>
      <c r="C66" s="49"/>
      <c r="D66" s="49"/>
      <c r="E66" s="49"/>
      <c r="F66" s="49"/>
      <c r="G66" s="49"/>
      <c r="H66" s="49"/>
      <c r="I66" s="49"/>
      <c r="J66" s="49"/>
      <c r="K66" s="49"/>
      <c r="L66" s="49"/>
      <c r="M66" s="49"/>
      <c r="N66" s="49"/>
      <c r="O66" s="49"/>
      <c r="P66" s="49"/>
      <c r="Q66" s="49"/>
      <c r="R66" s="49"/>
      <c r="S66" s="144"/>
      <c r="T66" s="154"/>
      <c r="U66" s="154"/>
      <c r="V66" s="154"/>
      <c r="W66" s="154"/>
      <c r="X66" s="154"/>
      <c r="Y66" s="154"/>
      <c r="Z66" s="154"/>
      <c r="AA66" s="154"/>
      <c r="AB66" s="154"/>
      <c r="AC66" s="154"/>
      <c r="AD66" s="154"/>
      <c r="AE66" s="154"/>
      <c r="AF66" s="154"/>
      <c r="AG66" s="154"/>
      <c r="AH66" s="154"/>
      <c r="AI66" s="154"/>
      <c r="AJ66" s="154"/>
      <c r="AK66" s="154"/>
      <c r="AL66" s="148"/>
    </row>
    <row r="67" spans="1:38" ht="15.75" customHeight="1">
      <c r="A67" s="91"/>
      <c r="B67" s="51" t="s">
        <v>129</v>
      </c>
      <c r="C67" s="51">
        <v>70</v>
      </c>
      <c r="D67" s="52">
        <v>0.48719999999999997</v>
      </c>
      <c r="E67" s="52">
        <v>6.9599999999999995E-2</v>
      </c>
      <c r="F67" s="52">
        <v>1.3223999999999998</v>
      </c>
      <c r="G67" s="52">
        <f>F67*4+E67*9+D67*4</f>
        <v>7.8647999999999989</v>
      </c>
      <c r="H67" s="52">
        <v>2.3199999999999998E-2</v>
      </c>
      <c r="I67" s="52">
        <v>1.1599999999999999E-2</v>
      </c>
      <c r="J67" s="52">
        <v>3.4103999999999997</v>
      </c>
      <c r="K67" s="52">
        <v>0</v>
      </c>
      <c r="L67" s="52">
        <v>6.9599999999999995E-2</v>
      </c>
      <c r="M67" s="52">
        <v>11.831999999999999</v>
      </c>
      <c r="N67" s="52">
        <v>20.88</v>
      </c>
      <c r="O67" s="52">
        <v>9.7439999999999998</v>
      </c>
      <c r="P67" s="52">
        <v>0.34799999999999998</v>
      </c>
      <c r="Q67" s="52">
        <v>0.11899999999999999</v>
      </c>
      <c r="R67" s="52">
        <v>0</v>
      </c>
      <c r="S67" s="144"/>
    </row>
    <row r="68" spans="1:38" ht="15.75" customHeight="1">
      <c r="A68" s="91">
        <v>235</v>
      </c>
      <c r="B68" s="51" t="s">
        <v>85</v>
      </c>
      <c r="C68" s="51">
        <v>75</v>
      </c>
      <c r="D68" s="55">
        <v>7.66</v>
      </c>
      <c r="E68" s="55">
        <v>5.3</v>
      </c>
      <c r="F68" s="55">
        <v>5.8</v>
      </c>
      <c r="G68" s="52">
        <f t="shared" ref="G68:G73" si="12">F68*4+E68*9+D68*4</f>
        <v>101.53999999999999</v>
      </c>
      <c r="H68" s="55">
        <f>0.036*0.875</f>
        <v>3.15E-2</v>
      </c>
      <c r="I68" s="55">
        <f>0.054*0.875</f>
        <v>4.725E-2</v>
      </c>
      <c r="J68" s="55">
        <v>2.2599999999999998</v>
      </c>
      <c r="K68" s="55">
        <v>0.17</v>
      </c>
      <c r="L68" s="55">
        <v>3.11</v>
      </c>
      <c r="M68" s="55">
        <v>43.8</v>
      </c>
      <c r="N68" s="55">
        <v>115.9</v>
      </c>
      <c r="O68" s="55">
        <v>17.149999999999999</v>
      </c>
      <c r="P68" s="55">
        <v>1.48</v>
      </c>
      <c r="Q68" s="52">
        <v>0.59</v>
      </c>
      <c r="R68" s="52"/>
      <c r="S68" s="144"/>
    </row>
    <row r="69" spans="1:38" s="52" customFormat="1" ht="15.75" customHeight="1">
      <c r="A69" s="91">
        <v>310</v>
      </c>
      <c r="B69" s="51" t="s">
        <v>84</v>
      </c>
      <c r="C69" s="51">
        <v>170</v>
      </c>
      <c r="D69" s="52">
        <v>3.3205</v>
      </c>
      <c r="E69" s="52">
        <v>4.8815999999999997</v>
      </c>
      <c r="F69" s="52">
        <v>26.001300000000001</v>
      </c>
      <c r="G69" s="52">
        <f t="shared" si="12"/>
        <v>161.2216</v>
      </c>
      <c r="H69" s="52">
        <v>0.16949999999999998</v>
      </c>
      <c r="I69" s="52">
        <v>0.10169999999999998</v>
      </c>
      <c r="J69" s="52">
        <v>23.729999999999997</v>
      </c>
      <c r="K69" s="52">
        <v>0</v>
      </c>
      <c r="L69" s="52">
        <v>0.22599999999999998</v>
      </c>
      <c r="M69" s="52">
        <v>62.036999999999992</v>
      </c>
      <c r="N69" s="52">
        <v>90.060999999999993</v>
      </c>
      <c r="O69" s="52">
        <v>33.108999999999995</v>
      </c>
      <c r="P69" s="52">
        <v>1.2994999999999999</v>
      </c>
      <c r="Q69" s="52">
        <v>0.66</v>
      </c>
      <c r="R69" s="52">
        <v>0</v>
      </c>
      <c r="S69" s="144"/>
      <c r="T69" s="154"/>
      <c r="U69" s="154"/>
      <c r="V69" s="154"/>
      <c r="W69" s="154"/>
      <c r="X69" s="154"/>
      <c r="Y69" s="154"/>
      <c r="Z69" s="154"/>
      <c r="AA69" s="154"/>
      <c r="AB69" s="154"/>
      <c r="AC69" s="154"/>
      <c r="AD69" s="154"/>
      <c r="AE69" s="154"/>
      <c r="AF69" s="154"/>
      <c r="AG69" s="154"/>
      <c r="AH69" s="154"/>
      <c r="AI69" s="154"/>
      <c r="AJ69" s="154"/>
      <c r="AK69" s="154"/>
      <c r="AL69" s="149"/>
    </row>
    <row r="70" spans="1:38" s="52" customFormat="1" ht="15.75" customHeight="1">
      <c r="A70" s="91" t="s">
        <v>39</v>
      </c>
      <c r="B70" s="51" t="s">
        <v>89</v>
      </c>
      <c r="C70" s="51">
        <v>200</v>
      </c>
      <c r="D70" s="52">
        <v>1.04</v>
      </c>
      <c r="E70" s="52">
        <v>0.6</v>
      </c>
      <c r="F70" s="52">
        <v>10.199999999999999</v>
      </c>
      <c r="G70" s="52">
        <f t="shared" si="12"/>
        <v>50.36</v>
      </c>
      <c r="H70" s="52">
        <v>0.2</v>
      </c>
      <c r="I70" s="52">
        <v>0.4</v>
      </c>
      <c r="J70" s="52">
        <v>8</v>
      </c>
      <c r="K70" s="52">
        <v>1E-3</v>
      </c>
      <c r="L70" s="52">
        <v>11</v>
      </c>
      <c r="M70" s="52">
        <v>32</v>
      </c>
      <c r="N70" s="52">
        <v>29</v>
      </c>
      <c r="O70" s="52">
        <v>21</v>
      </c>
      <c r="P70" s="52">
        <v>6.4</v>
      </c>
      <c r="Q70" s="52">
        <v>0.78</v>
      </c>
      <c r="R70" s="52">
        <v>0.01</v>
      </c>
      <c r="S70" s="144"/>
      <c r="T70" s="154"/>
      <c r="U70" s="154"/>
      <c r="V70" s="154"/>
      <c r="W70" s="154"/>
      <c r="X70" s="154"/>
      <c r="Y70" s="154"/>
      <c r="Z70" s="154"/>
      <c r="AA70" s="154"/>
      <c r="AB70" s="154"/>
      <c r="AC70" s="154"/>
      <c r="AD70" s="154"/>
      <c r="AE70" s="154"/>
      <c r="AF70" s="154"/>
      <c r="AG70" s="154"/>
      <c r="AH70" s="154"/>
      <c r="AI70" s="154"/>
      <c r="AJ70" s="154"/>
      <c r="AK70" s="154"/>
      <c r="AL70" s="149"/>
    </row>
    <row r="71" spans="1:38" s="52" customFormat="1" ht="15.75" customHeight="1">
      <c r="A71" s="99"/>
      <c r="B71" s="51" t="s">
        <v>4</v>
      </c>
      <c r="C71" s="51">
        <v>40</v>
      </c>
      <c r="D71" s="52">
        <f>1.35*2</f>
        <v>2.7</v>
      </c>
      <c r="E71" s="52">
        <f>0.172*2</f>
        <v>0.34399999999999997</v>
      </c>
      <c r="F71" s="52">
        <f>10.03*2</f>
        <v>20.059999999999999</v>
      </c>
      <c r="G71" s="52">
        <f t="shared" si="12"/>
        <v>94.135999999999996</v>
      </c>
      <c r="H71" s="52">
        <v>2.4E-2</v>
      </c>
      <c r="I71" s="52">
        <v>5.0000000000000001E-3</v>
      </c>
      <c r="J71" s="52">
        <v>0</v>
      </c>
      <c r="K71" s="52">
        <v>0</v>
      </c>
      <c r="L71" s="52">
        <v>0.42</v>
      </c>
      <c r="M71" s="52">
        <v>8</v>
      </c>
      <c r="N71" s="52">
        <v>26</v>
      </c>
      <c r="O71" s="52">
        <v>5.6</v>
      </c>
      <c r="P71" s="52">
        <v>0.4</v>
      </c>
      <c r="Q71" s="52">
        <v>0.3</v>
      </c>
      <c r="R71" s="52">
        <v>0</v>
      </c>
      <c r="S71" s="144"/>
      <c r="T71" s="154"/>
      <c r="U71" s="154"/>
      <c r="V71" s="154"/>
      <c r="W71" s="154"/>
      <c r="X71" s="154"/>
      <c r="Y71" s="154"/>
      <c r="Z71" s="154"/>
      <c r="AA71" s="154"/>
      <c r="AB71" s="154"/>
      <c r="AC71" s="154"/>
      <c r="AD71" s="154"/>
      <c r="AE71" s="154"/>
      <c r="AF71" s="154"/>
      <c r="AG71" s="154"/>
      <c r="AH71" s="154"/>
      <c r="AI71" s="154"/>
      <c r="AJ71" s="154"/>
      <c r="AK71" s="154"/>
      <c r="AL71" s="149"/>
    </row>
    <row r="72" spans="1:38" s="52" customFormat="1" ht="15.75" customHeight="1">
      <c r="A72" s="91"/>
      <c r="B72" s="51" t="s">
        <v>128</v>
      </c>
      <c r="C72" s="51">
        <v>25</v>
      </c>
      <c r="D72" s="52">
        <v>1.6625000000000001</v>
      </c>
      <c r="E72" s="52">
        <v>0.3</v>
      </c>
      <c r="F72" s="52">
        <v>10.462499999999999</v>
      </c>
      <c r="G72" s="52">
        <f t="shared" si="12"/>
        <v>51.199999999999996</v>
      </c>
      <c r="H72" s="52">
        <v>0.13124999999999998</v>
      </c>
      <c r="I72" s="52">
        <v>8.7499999999999981E-2</v>
      </c>
      <c r="J72" s="52">
        <v>0.17499999999999996</v>
      </c>
      <c r="K72" s="52">
        <v>0</v>
      </c>
      <c r="L72" s="52">
        <v>0.13124999999999998</v>
      </c>
      <c r="M72" s="52">
        <v>31.937499999999996</v>
      </c>
      <c r="N72" s="52">
        <v>54.6875</v>
      </c>
      <c r="O72" s="52">
        <v>17.5</v>
      </c>
      <c r="P72" s="52">
        <v>1.2249999999999999</v>
      </c>
      <c r="Q72" s="52">
        <v>0.3</v>
      </c>
      <c r="R72" s="52">
        <v>0.02</v>
      </c>
      <c r="S72" s="144"/>
      <c r="T72" s="154"/>
      <c r="U72" s="154"/>
      <c r="V72" s="154"/>
      <c r="W72" s="154"/>
      <c r="X72" s="154"/>
      <c r="Y72" s="154"/>
      <c r="Z72" s="154"/>
      <c r="AA72" s="154"/>
      <c r="AB72" s="154"/>
      <c r="AC72" s="154"/>
      <c r="AD72" s="154"/>
      <c r="AE72" s="154"/>
      <c r="AF72" s="154"/>
      <c r="AG72" s="154"/>
      <c r="AH72" s="154"/>
      <c r="AI72" s="154"/>
      <c r="AJ72" s="154"/>
      <c r="AK72" s="154"/>
      <c r="AL72" s="149"/>
    </row>
    <row r="73" spans="1:38" s="52" customFormat="1" ht="15.75" customHeight="1">
      <c r="A73" s="91"/>
      <c r="B73" s="51" t="s">
        <v>135</v>
      </c>
      <c r="C73" s="51">
        <v>150</v>
      </c>
      <c r="D73" s="52">
        <v>0.75301204819277112</v>
      </c>
      <c r="E73" s="52">
        <v>0</v>
      </c>
      <c r="F73" s="52">
        <v>15.210843373493976</v>
      </c>
      <c r="G73" s="52">
        <f t="shared" si="12"/>
        <v>63.855421686746986</v>
      </c>
      <c r="H73" s="52">
        <v>1.5060240963855423E-2</v>
      </c>
      <c r="I73" s="52">
        <v>1.5060240963855423E-2</v>
      </c>
      <c r="J73" s="52">
        <v>3.0120481927710845</v>
      </c>
      <c r="K73" s="52">
        <v>0</v>
      </c>
      <c r="L73" s="52">
        <v>0.15060240963855423</v>
      </c>
      <c r="M73" s="52">
        <v>10.542168674698795</v>
      </c>
      <c r="N73" s="52">
        <v>10.542168674698795</v>
      </c>
      <c r="O73" s="52">
        <v>6.024096385542169</v>
      </c>
      <c r="P73" s="52">
        <v>2.1084337349397591</v>
      </c>
      <c r="Q73" s="52">
        <v>0.03</v>
      </c>
      <c r="R73" s="52">
        <v>0</v>
      </c>
      <c r="S73" s="144"/>
      <c r="T73" s="154"/>
      <c r="U73" s="154"/>
      <c r="V73" s="154"/>
      <c r="W73" s="154"/>
      <c r="X73" s="154"/>
      <c r="Y73" s="154"/>
      <c r="Z73" s="154"/>
      <c r="AA73" s="154"/>
      <c r="AB73" s="154"/>
      <c r="AC73" s="154"/>
      <c r="AD73" s="154"/>
      <c r="AE73" s="154"/>
      <c r="AF73" s="154"/>
      <c r="AG73" s="154"/>
      <c r="AH73" s="154"/>
      <c r="AI73" s="154"/>
      <c r="AJ73" s="154"/>
      <c r="AK73" s="154"/>
      <c r="AL73" s="149"/>
    </row>
    <row r="74" spans="1:38" s="52" customFormat="1" ht="15.75" customHeight="1">
      <c r="A74" s="101"/>
      <c r="S74" s="144"/>
      <c r="T74" s="154"/>
      <c r="U74" s="154"/>
      <c r="V74" s="154"/>
      <c r="W74" s="154"/>
      <c r="X74" s="154"/>
      <c r="Y74" s="154"/>
      <c r="Z74" s="154"/>
      <c r="AA74" s="154"/>
      <c r="AB74" s="154"/>
      <c r="AC74" s="154"/>
      <c r="AD74" s="154"/>
      <c r="AE74" s="154"/>
      <c r="AF74" s="154"/>
      <c r="AG74" s="154"/>
      <c r="AH74" s="154"/>
      <c r="AI74" s="154"/>
      <c r="AJ74" s="154"/>
      <c r="AK74" s="154"/>
      <c r="AL74" s="149"/>
    </row>
    <row r="75" spans="1:38" s="53" customFormat="1" ht="15.75" customHeight="1">
      <c r="A75" s="94"/>
      <c r="B75" s="56" t="s">
        <v>21</v>
      </c>
      <c r="C75" s="57">
        <f>SUM(C67:C73)</f>
        <v>730</v>
      </c>
      <c r="D75" s="57">
        <f t="shared" ref="D75:R75" si="13">SUM(D67:D73)</f>
        <v>17.623212048192773</v>
      </c>
      <c r="E75" s="57">
        <f t="shared" si="13"/>
        <v>11.495200000000001</v>
      </c>
      <c r="F75" s="57">
        <f t="shared" si="13"/>
        <v>89.057043373493983</v>
      </c>
      <c r="G75" s="57">
        <f t="shared" si="13"/>
        <v>530.17782168674694</v>
      </c>
      <c r="H75" s="57">
        <f t="shared" si="13"/>
        <v>0.59451024096385541</v>
      </c>
      <c r="I75" s="57">
        <f t="shared" si="13"/>
        <v>0.66811024096385541</v>
      </c>
      <c r="J75" s="57">
        <f t="shared" si="13"/>
        <v>40.587448192771078</v>
      </c>
      <c r="K75" s="57">
        <f t="shared" si="13"/>
        <v>0.17100000000000001</v>
      </c>
      <c r="L75" s="57">
        <f t="shared" si="13"/>
        <v>15.107452409638553</v>
      </c>
      <c r="M75" s="57">
        <f t="shared" si="13"/>
        <v>200.14866867469877</v>
      </c>
      <c r="N75" s="57">
        <f t="shared" si="13"/>
        <v>347.07066867469882</v>
      </c>
      <c r="O75" s="57">
        <f t="shared" si="13"/>
        <v>110.12709638554215</v>
      </c>
      <c r="P75" s="57">
        <f t="shared" si="13"/>
        <v>13.260933734939758</v>
      </c>
      <c r="Q75" s="57">
        <f t="shared" si="13"/>
        <v>2.7789999999999995</v>
      </c>
      <c r="R75" s="57">
        <f t="shared" si="13"/>
        <v>0.03</v>
      </c>
      <c r="S75" s="144"/>
      <c r="T75" s="154"/>
      <c r="U75" s="154"/>
      <c r="V75" s="154"/>
      <c r="W75" s="154"/>
      <c r="X75" s="154"/>
      <c r="Y75" s="154"/>
      <c r="Z75" s="154"/>
      <c r="AA75" s="154"/>
      <c r="AB75" s="154"/>
      <c r="AC75" s="154"/>
      <c r="AD75" s="154"/>
      <c r="AE75" s="154"/>
      <c r="AF75" s="154"/>
      <c r="AG75" s="154"/>
      <c r="AH75" s="154"/>
      <c r="AI75" s="154"/>
      <c r="AJ75" s="154"/>
      <c r="AK75" s="154"/>
      <c r="AL75" s="148"/>
    </row>
    <row r="76" spans="1:38" ht="15.75" customHeight="1">
      <c r="A76" s="93"/>
      <c r="B76" s="58" t="s">
        <v>98</v>
      </c>
      <c r="C76" s="58"/>
      <c r="D76" s="59">
        <v>19.25</v>
      </c>
      <c r="E76" s="59">
        <v>19.75</v>
      </c>
      <c r="F76" s="59">
        <v>83.75</v>
      </c>
      <c r="G76" s="59">
        <v>587.5</v>
      </c>
      <c r="H76" s="59">
        <v>0.3</v>
      </c>
      <c r="I76" s="59">
        <v>0.35</v>
      </c>
      <c r="J76" s="59">
        <v>15</v>
      </c>
      <c r="K76" s="59">
        <v>0.17499999999999999</v>
      </c>
      <c r="L76" s="59">
        <v>2.5</v>
      </c>
      <c r="M76" s="59">
        <v>275</v>
      </c>
      <c r="N76" s="59">
        <v>412.5</v>
      </c>
      <c r="O76" s="59">
        <v>62.5</v>
      </c>
      <c r="P76" s="59">
        <v>3</v>
      </c>
      <c r="Q76" s="59">
        <v>2.5</v>
      </c>
      <c r="R76" s="59">
        <v>2.5000000000000001E-2</v>
      </c>
      <c r="S76" s="144"/>
    </row>
    <row r="77" spans="1:38" ht="15.75" customHeight="1">
      <c r="A77" s="177" t="s">
        <v>116</v>
      </c>
      <c r="B77" s="178"/>
      <c r="C77" s="49"/>
      <c r="D77" s="49"/>
      <c r="E77" s="49"/>
      <c r="F77" s="49"/>
      <c r="G77" s="49"/>
      <c r="H77" s="49"/>
      <c r="I77" s="49"/>
      <c r="J77" s="49"/>
      <c r="K77" s="49"/>
      <c r="L77" s="49"/>
      <c r="M77" s="49"/>
      <c r="N77" s="49"/>
      <c r="O77" s="49"/>
      <c r="P77" s="49"/>
      <c r="Q77" s="49"/>
      <c r="R77" s="49"/>
      <c r="S77" s="144"/>
    </row>
    <row r="78" spans="1:38" s="52" customFormat="1" ht="15.75" customHeight="1">
      <c r="A78" s="91"/>
      <c r="B78" s="51" t="s">
        <v>131</v>
      </c>
      <c r="C78" s="51">
        <v>80</v>
      </c>
      <c r="D78" s="52">
        <v>0.55859999999999999</v>
      </c>
      <c r="E78" s="52">
        <v>7.9799999999999996E-2</v>
      </c>
      <c r="F78" s="52">
        <v>1.5162</v>
      </c>
      <c r="G78" s="52">
        <f>F78*4+E78*9+D78*4</f>
        <v>9.0173999999999985</v>
      </c>
      <c r="H78" s="52">
        <v>2.6600000000000002E-2</v>
      </c>
      <c r="I78" s="52">
        <v>1.3300000000000001E-2</v>
      </c>
      <c r="J78" s="52">
        <v>3.9102000000000001</v>
      </c>
      <c r="K78" s="52">
        <v>0</v>
      </c>
      <c r="L78" s="52">
        <v>7.9799999999999996E-2</v>
      </c>
      <c r="M78" s="52">
        <v>13.565999999999999</v>
      </c>
      <c r="N78" s="52">
        <v>23.94</v>
      </c>
      <c r="O78" s="52">
        <v>11.172000000000001</v>
      </c>
      <c r="P78" s="52">
        <v>0.39900000000000002</v>
      </c>
      <c r="Q78" s="48">
        <v>0.13600000000000001</v>
      </c>
      <c r="R78" s="48">
        <v>0</v>
      </c>
      <c r="S78" s="144"/>
      <c r="T78" s="154"/>
      <c r="U78" s="154"/>
      <c r="V78" s="154"/>
      <c r="W78" s="154"/>
      <c r="X78" s="154"/>
      <c r="Y78" s="154"/>
      <c r="Z78" s="154"/>
      <c r="AA78" s="154"/>
      <c r="AB78" s="154"/>
      <c r="AC78" s="154"/>
      <c r="AD78" s="154"/>
      <c r="AE78" s="154"/>
      <c r="AF78" s="154"/>
      <c r="AG78" s="154"/>
      <c r="AH78" s="154"/>
      <c r="AI78" s="154"/>
      <c r="AJ78" s="154"/>
      <c r="AK78" s="154"/>
      <c r="AL78" s="149"/>
    </row>
    <row r="79" spans="1:38" s="52" customFormat="1" ht="15.75" customHeight="1">
      <c r="A79" s="91">
        <v>278</v>
      </c>
      <c r="B79" s="51" t="s">
        <v>73</v>
      </c>
      <c r="C79" s="51">
        <v>60</v>
      </c>
      <c r="D79" s="46">
        <v>4.2699999999999996</v>
      </c>
      <c r="E79" s="46">
        <v>4.7699999999999996</v>
      </c>
      <c r="F79" s="46">
        <v>5.59</v>
      </c>
      <c r="G79" s="52">
        <f t="shared" ref="G79:G85" si="14">F79*4+E79*9+D79*4</f>
        <v>82.36999999999999</v>
      </c>
      <c r="H79" s="46">
        <v>0.02</v>
      </c>
      <c r="I79" s="46">
        <v>0.03</v>
      </c>
      <c r="J79" s="46">
        <v>0.39</v>
      </c>
      <c r="K79" s="46">
        <v>0.18</v>
      </c>
      <c r="L79" s="46">
        <v>0</v>
      </c>
      <c r="M79" s="46">
        <v>15.2</v>
      </c>
      <c r="N79" s="46">
        <v>48.2</v>
      </c>
      <c r="O79" s="46">
        <v>9.99</v>
      </c>
      <c r="P79" s="46">
        <v>0.47</v>
      </c>
      <c r="Q79" s="52">
        <v>0.96</v>
      </c>
      <c r="R79" s="52">
        <v>0</v>
      </c>
      <c r="S79" s="144"/>
      <c r="T79" s="154"/>
      <c r="U79" s="154"/>
      <c r="V79" s="154"/>
      <c r="W79" s="154"/>
      <c r="X79" s="154"/>
      <c r="Y79" s="154"/>
      <c r="Z79" s="154"/>
      <c r="AA79" s="154"/>
      <c r="AB79" s="154"/>
      <c r="AC79" s="154"/>
      <c r="AD79" s="154"/>
      <c r="AE79" s="154"/>
      <c r="AF79" s="154"/>
      <c r="AG79" s="154"/>
      <c r="AH79" s="154"/>
      <c r="AI79" s="154"/>
      <c r="AJ79" s="154"/>
      <c r="AK79" s="154"/>
      <c r="AL79" s="149"/>
    </row>
    <row r="80" spans="1:38" s="52" customFormat="1" ht="15.75" customHeight="1">
      <c r="A80" s="98">
        <v>330</v>
      </c>
      <c r="B80" s="51" t="s">
        <v>72</v>
      </c>
      <c r="C80" s="51">
        <v>50</v>
      </c>
      <c r="D80" s="46">
        <v>0.7</v>
      </c>
      <c r="E80" s="46">
        <v>2.4900000000000002</v>
      </c>
      <c r="F80" s="46">
        <v>2.93</v>
      </c>
      <c r="G80" s="52">
        <f t="shared" si="14"/>
        <v>36.93</v>
      </c>
      <c r="H80" s="46">
        <v>0.01</v>
      </c>
      <c r="I80" s="46">
        <v>0.01</v>
      </c>
      <c r="J80" s="46">
        <v>1.9E-2</v>
      </c>
      <c r="K80" s="46">
        <v>0.17</v>
      </c>
      <c r="L80" s="46">
        <v>0</v>
      </c>
      <c r="M80" s="46">
        <v>13.65</v>
      </c>
      <c r="N80" s="46">
        <v>11.36</v>
      </c>
      <c r="O80" s="46">
        <v>2.64</v>
      </c>
      <c r="P80" s="46">
        <v>0.1</v>
      </c>
      <c r="Q80" s="52">
        <v>0.13</v>
      </c>
      <c r="R80" s="52">
        <v>0</v>
      </c>
      <c r="S80" s="144"/>
      <c r="T80" s="154"/>
      <c r="U80" s="154"/>
      <c r="V80" s="154"/>
      <c r="W80" s="154"/>
      <c r="X80" s="154"/>
      <c r="Y80" s="154"/>
      <c r="Z80" s="154"/>
      <c r="AA80" s="154"/>
      <c r="AB80" s="154"/>
      <c r="AC80" s="154"/>
      <c r="AD80" s="154"/>
      <c r="AE80" s="154"/>
      <c r="AF80" s="154"/>
      <c r="AG80" s="154"/>
      <c r="AH80" s="154"/>
      <c r="AI80" s="154"/>
      <c r="AJ80" s="154"/>
      <c r="AK80" s="154"/>
      <c r="AL80" s="149"/>
    </row>
    <row r="81" spans="1:38" s="52" customFormat="1" ht="15.75" customHeight="1">
      <c r="A81" s="91">
        <v>302</v>
      </c>
      <c r="B81" s="51" t="s">
        <v>132</v>
      </c>
      <c r="C81" s="51">
        <v>150</v>
      </c>
      <c r="D81" s="55">
        <v>7.8</v>
      </c>
      <c r="E81" s="55">
        <v>3.6</v>
      </c>
      <c r="F81" s="55">
        <v>39</v>
      </c>
      <c r="G81" s="52">
        <f t="shared" si="14"/>
        <v>219.6</v>
      </c>
      <c r="H81" s="55">
        <v>0.18</v>
      </c>
      <c r="I81" s="55">
        <v>0.1</v>
      </c>
      <c r="J81" s="55">
        <v>0</v>
      </c>
      <c r="K81" s="55">
        <v>0.35</v>
      </c>
      <c r="L81" s="55">
        <v>0.44</v>
      </c>
      <c r="M81" s="55">
        <v>23.55</v>
      </c>
      <c r="N81" s="55">
        <v>185.6</v>
      </c>
      <c r="O81" s="55">
        <v>123.9</v>
      </c>
      <c r="P81" s="55">
        <v>4.2</v>
      </c>
      <c r="Q81" s="52">
        <v>1.1000000000000001</v>
      </c>
      <c r="R81" s="52">
        <v>0</v>
      </c>
      <c r="S81" s="144"/>
      <c r="T81" s="154"/>
      <c r="U81" s="154"/>
      <c r="V81" s="154"/>
      <c r="W81" s="154"/>
      <c r="X81" s="154"/>
      <c r="Y81" s="154"/>
      <c r="Z81" s="154"/>
      <c r="AA81" s="154"/>
      <c r="AB81" s="154"/>
      <c r="AC81" s="154"/>
      <c r="AD81" s="154"/>
      <c r="AE81" s="154"/>
      <c r="AF81" s="154"/>
      <c r="AG81" s="154"/>
      <c r="AH81" s="154"/>
      <c r="AI81" s="154"/>
      <c r="AJ81" s="154"/>
      <c r="AK81" s="154"/>
      <c r="AL81" s="149"/>
    </row>
    <row r="82" spans="1:38" s="52" customFormat="1" ht="15.75" customHeight="1">
      <c r="A82" s="91">
        <v>342</v>
      </c>
      <c r="B82" s="51" t="s">
        <v>92</v>
      </c>
      <c r="C82" s="51">
        <v>200</v>
      </c>
      <c r="D82" s="52">
        <v>0.6</v>
      </c>
      <c r="E82" s="52">
        <v>0.4</v>
      </c>
      <c r="F82" s="52">
        <v>10.4</v>
      </c>
      <c r="G82" s="52">
        <f t="shared" si="14"/>
        <v>47.6</v>
      </c>
      <c r="H82" s="52">
        <v>0.02</v>
      </c>
      <c r="I82" s="52">
        <v>0.04</v>
      </c>
      <c r="J82" s="52">
        <v>3.4</v>
      </c>
      <c r="K82" s="52">
        <v>0</v>
      </c>
      <c r="L82" s="52">
        <v>0.4</v>
      </c>
      <c r="M82" s="52">
        <v>21.2</v>
      </c>
      <c r="N82" s="52">
        <v>22.6</v>
      </c>
      <c r="O82" s="52">
        <v>14.6</v>
      </c>
      <c r="P82" s="52">
        <v>3.2</v>
      </c>
      <c r="Q82" s="52">
        <v>0.12</v>
      </c>
      <c r="R82" s="52">
        <v>0</v>
      </c>
      <c r="S82" s="144"/>
      <c r="T82" s="154"/>
      <c r="U82" s="154"/>
      <c r="V82" s="154"/>
      <c r="W82" s="154"/>
      <c r="X82" s="154"/>
      <c r="Y82" s="154"/>
      <c r="Z82" s="154"/>
      <c r="AA82" s="154"/>
      <c r="AB82" s="154"/>
      <c r="AC82" s="154"/>
      <c r="AD82" s="154"/>
      <c r="AE82" s="154"/>
      <c r="AF82" s="154"/>
      <c r="AG82" s="154"/>
      <c r="AH82" s="154"/>
      <c r="AI82" s="154"/>
      <c r="AJ82" s="154"/>
      <c r="AK82" s="154"/>
      <c r="AL82" s="149"/>
    </row>
    <row r="83" spans="1:38" s="52" customFormat="1" ht="15.75" customHeight="1">
      <c r="A83" s="91"/>
      <c r="B83" s="51" t="s">
        <v>128</v>
      </c>
      <c r="C83" s="51">
        <v>25</v>
      </c>
      <c r="D83" s="52">
        <v>1.6625000000000001</v>
      </c>
      <c r="E83" s="52">
        <v>0.3</v>
      </c>
      <c r="F83" s="52">
        <v>10.462499999999999</v>
      </c>
      <c r="G83" s="52">
        <f t="shared" si="14"/>
        <v>51.199999999999996</v>
      </c>
      <c r="H83" s="52">
        <v>0.13124999999999998</v>
      </c>
      <c r="I83" s="52">
        <v>8.7499999999999981E-2</v>
      </c>
      <c r="J83" s="52">
        <v>0.17499999999999996</v>
      </c>
      <c r="K83" s="52">
        <v>0</v>
      </c>
      <c r="L83" s="52">
        <v>0.13124999999999998</v>
      </c>
      <c r="M83" s="52">
        <v>31.937499999999996</v>
      </c>
      <c r="N83" s="52">
        <v>54.6875</v>
      </c>
      <c r="O83" s="52">
        <v>17.5</v>
      </c>
      <c r="P83" s="52">
        <v>1.2249999999999999</v>
      </c>
      <c r="Q83" s="52">
        <v>0.3</v>
      </c>
      <c r="R83" s="52">
        <v>0.02</v>
      </c>
      <c r="S83" s="144"/>
      <c r="T83" s="154"/>
      <c r="U83" s="154"/>
      <c r="V83" s="154"/>
      <c r="W83" s="154"/>
      <c r="X83" s="154"/>
      <c r="Y83" s="154"/>
      <c r="Z83" s="154"/>
      <c r="AA83" s="154"/>
      <c r="AB83" s="154"/>
      <c r="AC83" s="154"/>
      <c r="AD83" s="154"/>
      <c r="AE83" s="154"/>
      <c r="AF83" s="154"/>
      <c r="AG83" s="154"/>
      <c r="AH83" s="154"/>
      <c r="AI83" s="154"/>
      <c r="AJ83" s="154"/>
      <c r="AK83" s="154"/>
      <c r="AL83" s="149"/>
    </row>
    <row r="84" spans="1:38" s="52" customFormat="1" ht="15.75" customHeight="1">
      <c r="A84" s="99"/>
      <c r="B84" s="51" t="s">
        <v>4</v>
      </c>
      <c r="C84" s="51">
        <v>40</v>
      </c>
      <c r="D84" s="52">
        <f>1.35*2</f>
        <v>2.7</v>
      </c>
      <c r="E84" s="52">
        <f>0.172*2</f>
        <v>0.34399999999999997</v>
      </c>
      <c r="F84" s="52">
        <f>10.03*2</f>
        <v>20.059999999999999</v>
      </c>
      <c r="G84" s="52">
        <f t="shared" si="14"/>
        <v>94.135999999999996</v>
      </c>
      <c r="H84" s="52">
        <v>2.4E-2</v>
      </c>
      <c r="I84" s="52">
        <v>5.0000000000000001E-3</v>
      </c>
      <c r="J84" s="52">
        <v>0</v>
      </c>
      <c r="K84" s="52">
        <v>0</v>
      </c>
      <c r="L84" s="52">
        <v>0.42</v>
      </c>
      <c r="M84" s="52">
        <v>8</v>
      </c>
      <c r="N84" s="52">
        <v>26</v>
      </c>
      <c r="O84" s="52">
        <v>5.6</v>
      </c>
      <c r="P84" s="52">
        <v>0.4</v>
      </c>
      <c r="Q84" s="52">
        <v>0.3</v>
      </c>
      <c r="R84" s="52">
        <v>0</v>
      </c>
      <c r="S84" s="144"/>
      <c r="T84" s="154"/>
      <c r="U84" s="154"/>
      <c r="V84" s="154"/>
      <c r="W84" s="154"/>
      <c r="X84" s="154"/>
      <c r="Y84" s="154"/>
      <c r="Z84" s="154"/>
      <c r="AA84" s="154"/>
      <c r="AB84" s="154"/>
      <c r="AC84" s="154"/>
      <c r="AD84" s="154"/>
      <c r="AE84" s="154"/>
      <c r="AF84" s="154"/>
      <c r="AG84" s="154"/>
      <c r="AH84" s="154"/>
      <c r="AI84" s="154"/>
      <c r="AJ84" s="154"/>
      <c r="AK84" s="154"/>
      <c r="AL84" s="149"/>
    </row>
    <row r="85" spans="1:38" ht="15.75" customHeight="1">
      <c r="A85" s="102"/>
      <c r="B85" s="66" t="s">
        <v>130</v>
      </c>
      <c r="C85" s="66">
        <v>25</v>
      </c>
      <c r="D85" s="46">
        <f>7.5*0.25</f>
        <v>1.875</v>
      </c>
      <c r="E85" s="46">
        <f>18*0.25</f>
        <v>4.5</v>
      </c>
      <c r="F85" s="46">
        <f>67*0.25</f>
        <v>16.75</v>
      </c>
      <c r="G85" s="52">
        <f t="shared" si="14"/>
        <v>115</v>
      </c>
      <c r="H85" s="46">
        <v>0.03</v>
      </c>
      <c r="I85" s="46">
        <v>4.0000000000000001E-3</v>
      </c>
      <c r="J85" s="46">
        <v>0</v>
      </c>
      <c r="K85" s="46">
        <v>0.2</v>
      </c>
      <c r="L85" s="46">
        <v>0</v>
      </c>
      <c r="M85" s="46">
        <v>7.24</v>
      </c>
      <c r="N85" s="46">
        <v>26.87</v>
      </c>
      <c r="O85" s="46">
        <v>5.5</v>
      </c>
      <c r="P85" s="46">
        <v>0.45</v>
      </c>
      <c r="Q85" s="52">
        <v>0</v>
      </c>
      <c r="R85" s="52">
        <v>0</v>
      </c>
      <c r="S85" s="144"/>
    </row>
    <row r="86" spans="1:38" s="53" customFormat="1" ht="15.75" customHeight="1">
      <c r="A86" s="91"/>
      <c r="B86" s="52"/>
      <c r="C86" s="52"/>
      <c r="D86" s="52"/>
      <c r="E86" s="52"/>
      <c r="F86" s="52"/>
      <c r="G86" s="52"/>
      <c r="H86" s="52"/>
      <c r="I86" s="52"/>
      <c r="J86" s="52"/>
      <c r="K86" s="52"/>
      <c r="L86" s="52"/>
      <c r="M86" s="52"/>
      <c r="N86" s="52"/>
      <c r="O86" s="52"/>
      <c r="P86" s="52"/>
      <c r="Q86" s="52"/>
      <c r="R86" s="52"/>
      <c r="S86" s="144"/>
      <c r="T86" s="154"/>
      <c r="U86" s="154"/>
      <c r="V86" s="154"/>
      <c r="W86" s="154"/>
      <c r="X86" s="154"/>
      <c r="Y86" s="154"/>
      <c r="Z86" s="154"/>
      <c r="AA86" s="154"/>
      <c r="AB86" s="154"/>
      <c r="AC86" s="154"/>
      <c r="AD86" s="154"/>
      <c r="AE86" s="154"/>
      <c r="AF86" s="154"/>
      <c r="AG86" s="154"/>
      <c r="AH86" s="154"/>
      <c r="AI86" s="154"/>
      <c r="AJ86" s="154"/>
      <c r="AK86" s="154"/>
      <c r="AL86" s="148"/>
    </row>
    <row r="87" spans="1:38" ht="15.75" customHeight="1">
      <c r="A87" s="94"/>
      <c r="B87" s="65" t="s">
        <v>21</v>
      </c>
      <c r="C87" s="57">
        <f>SUM(C78:C85)</f>
        <v>630</v>
      </c>
      <c r="D87" s="57">
        <f t="shared" ref="D87:R87" si="15">SUM(D78:D85)</f>
        <v>20.1661</v>
      </c>
      <c r="E87" s="57">
        <f t="shared" si="15"/>
        <v>16.483800000000002</v>
      </c>
      <c r="F87" s="57">
        <f t="shared" si="15"/>
        <v>106.70869999999999</v>
      </c>
      <c r="G87" s="57">
        <f t="shared" si="15"/>
        <v>655.85339999999997</v>
      </c>
      <c r="H87" s="57">
        <f t="shared" si="15"/>
        <v>0.44184999999999997</v>
      </c>
      <c r="I87" s="57">
        <f t="shared" si="15"/>
        <v>0.2898</v>
      </c>
      <c r="J87" s="57">
        <f t="shared" si="15"/>
        <v>7.8942000000000005</v>
      </c>
      <c r="K87" s="57">
        <f t="shared" si="15"/>
        <v>0.89999999999999991</v>
      </c>
      <c r="L87" s="57">
        <f t="shared" si="15"/>
        <v>1.47105</v>
      </c>
      <c r="M87" s="57">
        <f t="shared" si="15"/>
        <v>134.34350000000001</v>
      </c>
      <c r="N87" s="57">
        <f t="shared" si="15"/>
        <v>399.25750000000005</v>
      </c>
      <c r="O87" s="57">
        <f t="shared" si="15"/>
        <v>190.90199999999999</v>
      </c>
      <c r="P87" s="57">
        <f t="shared" si="15"/>
        <v>10.443999999999999</v>
      </c>
      <c r="Q87" s="57">
        <f t="shared" si="15"/>
        <v>3.0459999999999998</v>
      </c>
      <c r="R87" s="57">
        <f t="shared" si="15"/>
        <v>0.02</v>
      </c>
      <c r="S87" s="144"/>
    </row>
    <row r="88" spans="1:38" ht="15.75" customHeight="1">
      <c r="A88" s="97"/>
      <c r="B88" s="58" t="s">
        <v>98</v>
      </c>
      <c r="C88" s="58"/>
      <c r="D88" s="59">
        <v>19.25</v>
      </c>
      <c r="E88" s="59">
        <v>19.75</v>
      </c>
      <c r="F88" s="59">
        <v>83.75</v>
      </c>
      <c r="G88" s="59">
        <v>587.5</v>
      </c>
      <c r="H88" s="59">
        <v>0.3</v>
      </c>
      <c r="I88" s="59">
        <v>0.35</v>
      </c>
      <c r="J88" s="59">
        <v>15</v>
      </c>
      <c r="K88" s="59">
        <v>0.17499999999999999</v>
      </c>
      <c r="L88" s="59">
        <v>2.5</v>
      </c>
      <c r="M88" s="59">
        <v>275</v>
      </c>
      <c r="N88" s="59">
        <v>412.5</v>
      </c>
      <c r="O88" s="59">
        <v>62.5</v>
      </c>
      <c r="P88" s="59">
        <v>3</v>
      </c>
      <c r="Q88" s="59">
        <v>2.5</v>
      </c>
      <c r="R88" s="59">
        <v>2.5000000000000001E-2</v>
      </c>
      <c r="S88" s="144"/>
    </row>
    <row r="89" spans="1:38" s="52" customFormat="1" ht="15.75" customHeight="1">
      <c r="A89" s="177" t="s">
        <v>117</v>
      </c>
      <c r="B89" s="178"/>
      <c r="C89" s="49"/>
      <c r="D89" s="49"/>
      <c r="E89" s="49"/>
      <c r="F89" s="49"/>
      <c r="G89" s="49"/>
      <c r="H89" s="49"/>
      <c r="I89" s="49"/>
      <c r="J89" s="49"/>
      <c r="K89" s="49"/>
      <c r="L89" s="49"/>
      <c r="M89" s="49"/>
      <c r="N89" s="49"/>
      <c r="O89" s="49"/>
      <c r="P89" s="49"/>
      <c r="Q89" s="49"/>
      <c r="R89" s="49"/>
      <c r="S89" s="144"/>
      <c r="T89" s="154"/>
      <c r="U89" s="154"/>
      <c r="V89" s="154"/>
      <c r="W89" s="154"/>
      <c r="X89" s="154"/>
      <c r="Y89" s="154"/>
      <c r="Z89" s="154"/>
      <c r="AA89" s="154"/>
      <c r="AB89" s="154"/>
      <c r="AC89" s="154"/>
      <c r="AD89" s="154"/>
      <c r="AE89" s="154"/>
      <c r="AF89" s="154"/>
      <c r="AG89" s="154"/>
      <c r="AH89" s="154"/>
      <c r="AI89" s="154"/>
      <c r="AJ89" s="154"/>
      <c r="AK89" s="154"/>
      <c r="AL89" s="149"/>
    </row>
    <row r="90" spans="1:38" s="52" customFormat="1" ht="15.75" customHeight="1">
      <c r="A90" s="91">
        <v>222</v>
      </c>
      <c r="B90" s="51" t="s">
        <v>69</v>
      </c>
      <c r="C90" s="51">
        <v>160</v>
      </c>
      <c r="D90" s="46">
        <v>16.48</v>
      </c>
      <c r="E90" s="46">
        <v>13.92</v>
      </c>
      <c r="F90" s="46">
        <v>33.479999999999997</v>
      </c>
      <c r="G90" s="46">
        <f>F90*4+E90*9+D90*4</f>
        <v>325.12</v>
      </c>
      <c r="H90" s="46">
        <v>0.1</v>
      </c>
      <c r="I90" s="46">
        <v>0.26</v>
      </c>
      <c r="J90" s="46">
        <v>0.42</v>
      </c>
      <c r="K90" s="46">
        <v>0.83</v>
      </c>
      <c r="L90" s="46">
        <v>0</v>
      </c>
      <c r="M90" s="46">
        <v>170.72</v>
      </c>
      <c r="N90" s="46">
        <v>224.08</v>
      </c>
      <c r="O90" s="46">
        <v>29.82</v>
      </c>
      <c r="P90" s="46">
        <v>1.18</v>
      </c>
      <c r="Q90" s="52">
        <v>0.59</v>
      </c>
      <c r="R90" s="52">
        <v>0</v>
      </c>
      <c r="S90" s="144"/>
      <c r="T90" s="154"/>
      <c r="U90" s="154"/>
      <c r="V90" s="154"/>
      <c r="W90" s="154"/>
      <c r="X90" s="154"/>
      <c r="Y90" s="154"/>
      <c r="Z90" s="154"/>
      <c r="AA90" s="154"/>
      <c r="AB90" s="154"/>
      <c r="AC90" s="154"/>
      <c r="AD90" s="154"/>
      <c r="AE90" s="154"/>
      <c r="AF90" s="154"/>
      <c r="AG90" s="154"/>
      <c r="AH90" s="154"/>
      <c r="AI90" s="154"/>
      <c r="AJ90" s="154"/>
      <c r="AK90" s="154"/>
      <c r="AL90" s="149"/>
    </row>
    <row r="91" spans="1:38" s="52" customFormat="1" ht="15.75" customHeight="1">
      <c r="A91" s="93">
        <v>327</v>
      </c>
      <c r="B91" s="67" t="s">
        <v>91</v>
      </c>
      <c r="C91" s="67">
        <v>15</v>
      </c>
      <c r="D91" s="52">
        <v>1.1278195488721805</v>
      </c>
      <c r="E91" s="52">
        <v>3.0075187969924809E-3</v>
      </c>
      <c r="F91" s="52">
        <v>8.5413533834586453</v>
      </c>
      <c r="G91" s="46">
        <f t="shared" ref="G91:G94" si="16">F91*4+E91*9+D91*4</f>
        <v>38.703759398496231</v>
      </c>
      <c r="H91" s="52">
        <v>7.5187969924812026E-3</v>
      </c>
      <c r="I91" s="52">
        <v>2.2556390977443608E-2</v>
      </c>
      <c r="J91" s="52">
        <v>0.15037593984962405</v>
      </c>
      <c r="K91" s="52">
        <v>0</v>
      </c>
      <c r="L91" s="52">
        <v>0</v>
      </c>
      <c r="M91" s="52">
        <v>47.669172932330824</v>
      </c>
      <c r="N91" s="52">
        <v>34.436090225563909</v>
      </c>
      <c r="O91" s="52">
        <v>5.1127819548872173</v>
      </c>
      <c r="P91" s="52">
        <v>3.007518796992481E-2</v>
      </c>
      <c r="Q91" s="52">
        <v>0.15</v>
      </c>
      <c r="R91" s="52">
        <v>0</v>
      </c>
      <c r="S91" s="144"/>
      <c r="T91" s="154"/>
      <c r="U91" s="154"/>
      <c r="V91" s="154"/>
      <c r="W91" s="154"/>
      <c r="X91" s="154"/>
      <c r="Y91" s="154"/>
      <c r="Z91" s="154"/>
      <c r="AA91" s="154"/>
      <c r="AB91" s="154"/>
      <c r="AC91" s="154"/>
      <c r="AD91" s="154"/>
      <c r="AE91" s="154"/>
      <c r="AF91" s="154"/>
      <c r="AG91" s="154"/>
      <c r="AH91" s="154"/>
      <c r="AI91" s="154"/>
      <c r="AJ91" s="154"/>
      <c r="AK91" s="154"/>
      <c r="AL91" s="149"/>
    </row>
    <row r="92" spans="1:38" s="52" customFormat="1" ht="15.75" customHeight="1">
      <c r="A92" s="91">
        <v>397</v>
      </c>
      <c r="B92" s="51" t="s">
        <v>6</v>
      </c>
      <c r="C92" s="51">
        <v>200</v>
      </c>
      <c r="D92" s="55">
        <v>4.07</v>
      </c>
      <c r="E92" s="55">
        <v>3.5</v>
      </c>
      <c r="F92" s="55">
        <v>17.5</v>
      </c>
      <c r="G92" s="46">
        <f t="shared" si="16"/>
        <v>117.78</v>
      </c>
      <c r="H92" s="55">
        <f>0.28*0.18</f>
        <v>5.04E-2</v>
      </c>
      <c r="I92" s="55">
        <v>0.18</v>
      </c>
      <c r="J92" s="55">
        <v>1.57</v>
      </c>
      <c r="K92" s="55">
        <v>0.24</v>
      </c>
      <c r="L92" s="55">
        <v>0</v>
      </c>
      <c r="M92" s="55">
        <v>152.19999999999999</v>
      </c>
      <c r="N92" s="55">
        <v>124.5</v>
      </c>
      <c r="O92" s="55">
        <v>21.34</v>
      </c>
      <c r="P92" s="55">
        <v>0.47</v>
      </c>
      <c r="Q92" s="52">
        <v>0.5</v>
      </c>
      <c r="R92" s="52">
        <v>0</v>
      </c>
      <c r="S92" s="144"/>
      <c r="T92" s="154"/>
      <c r="U92" s="154"/>
      <c r="V92" s="154"/>
      <c r="W92" s="154"/>
      <c r="X92" s="154"/>
      <c r="Y92" s="154"/>
      <c r="Z92" s="154"/>
      <c r="AA92" s="154"/>
      <c r="AB92" s="154"/>
      <c r="AC92" s="154"/>
      <c r="AD92" s="154"/>
      <c r="AE92" s="154"/>
      <c r="AF92" s="154"/>
      <c r="AG92" s="154"/>
      <c r="AH92" s="154"/>
      <c r="AI92" s="154"/>
      <c r="AJ92" s="154"/>
      <c r="AK92" s="154"/>
      <c r="AL92" s="149"/>
    </row>
    <row r="93" spans="1:38" s="52" customFormat="1" ht="15.75" customHeight="1">
      <c r="A93" s="99"/>
      <c r="B93" s="51" t="s">
        <v>4</v>
      </c>
      <c r="C93" s="51">
        <v>40</v>
      </c>
      <c r="D93" s="52">
        <f>1.35*2</f>
        <v>2.7</v>
      </c>
      <c r="E93" s="52">
        <f>0.172*2</f>
        <v>0.34399999999999997</v>
      </c>
      <c r="F93" s="52">
        <f>10.03*2</f>
        <v>20.059999999999999</v>
      </c>
      <c r="G93" s="52">
        <f t="shared" si="16"/>
        <v>94.135999999999996</v>
      </c>
      <c r="H93" s="52">
        <v>2.4E-2</v>
      </c>
      <c r="I93" s="52">
        <v>5.0000000000000001E-3</v>
      </c>
      <c r="J93" s="52">
        <v>0</v>
      </c>
      <c r="K93" s="52">
        <v>0</v>
      </c>
      <c r="L93" s="52">
        <v>0.42</v>
      </c>
      <c r="M93" s="52">
        <v>8</v>
      </c>
      <c r="N93" s="52">
        <v>26</v>
      </c>
      <c r="O93" s="52">
        <v>5.6</v>
      </c>
      <c r="P93" s="52">
        <v>0.4</v>
      </c>
      <c r="Q93" s="52">
        <v>0.3</v>
      </c>
      <c r="R93" s="52">
        <v>0</v>
      </c>
      <c r="S93" s="144"/>
      <c r="T93" s="154"/>
      <c r="U93" s="154"/>
      <c r="V93" s="154"/>
      <c r="W93" s="154"/>
      <c r="X93" s="154"/>
      <c r="Y93" s="154"/>
      <c r="Z93" s="154"/>
      <c r="AA93" s="154"/>
      <c r="AB93" s="154"/>
      <c r="AC93" s="154"/>
      <c r="AD93" s="154"/>
      <c r="AE93" s="154"/>
      <c r="AF93" s="154"/>
      <c r="AG93" s="154"/>
      <c r="AH93" s="154"/>
      <c r="AI93" s="154"/>
      <c r="AJ93" s="154"/>
      <c r="AK93" s="154"/>
      <c r="AL93" s="149"/>
    </row>
    <row r="94" spans="1:38" s="52" customFormat="1" ht="15.75" customHeight="1">
      <c r="A94" s="99"/>
      <c r="B94" s="51" t="s">
        <v>133</v>
      </c>
      <c r="C94" s="51">
        <v>180</v>
      </c>
      <c r="D94" s="55">
        <f>5*1.8</f>
        <v>9</v>
      </c>
      <c r="E94" s="55">
        <f>3.2*1.8</f>
        <v>5.7600000000000007</v>
      </c>
      <c r="F94" s="55">
        <f>3.5*1.8</f>
        <v>6.3</v>
      </c>
      <c r="G94" s="46">
        <f t="shared" si="16"/>
        <v>113.04</v>
      </c>
      <c r="H94" s="55">
        <f>0.04*0.75</f>
        <v>0.03</v>
      </c>
      <c r="I94" s="55">
        <v>0.26</v>
      </c>
      <c r="J94" s="55">
        <v>0.54</v>
      </c>
      <c r="K94" s="55">
        <v>0.36</v>
      </c>
      <c r="L94" s="55">
        <v>0</v>
      </c>
      <c r="M94" s="55">
        <v>223.2</v>
      </c>
      <c r="N94" s="55">
        <v>165.6</v>
      </c>
      <c r="O94" s="55">
        <v>25.2</v>
      </c>
      <c r="P94" s="55">
        <v>0.18</v>
      </c>
      <c r="Q94" s="52">
        <v>0.72</v>
      </c>
      <c r="R94" s="52">
        <v>0</v>
      </c>
      <c r="S94" s="144"/>
      <c r="T94" s="154"/>
      <c r="U94" s="154"/>
      <c r="V94" s="154"/>
      <c r="W94" s="154"/>
      <c r="X94" s="154"/>
      <c r="Y94" s="154"/>
      <c r="Z94" s="154"/>
      <c r="AA94" s="154"/>
      <c r="AB94" s="154"/>
      <c r="AC94" s="154"/>
      <c r="AD94" s="154"/>
      <c r="AE94" s="154"/>
      <c r="AF94" s="154"/>
      <c r="AG94" s="154"/>
      <c r="AH94" s="154"/>
      <c r="AI94" s="154"/>
      <c r="AJ94" s="154"/>
      <c r="AK94" s="154"/>
      <c r="AL94" s="149"/>
    </row>
    <row r="95" spans="1:38" ht="15.75" customHeight="1">
      <c r="A95" s="91"/>
      <c r="B95" s="58"/>
      <c r="C95" s="58"/>
      <c r="D95" s="59"/>
      <c r="E95" s="59"/>
      <c r="F95" s="59"/>
      <c r="G95" s="59"/>
      <c r="H95" s="59"/>
      <c r="I95" s="59"/>
      <c r="J95" s="59"/>
      <c r="K95" s="59"/>
      <c r="L95" s="59"/>
      <c r="M95" s="59"/>
      <c r="N95" s="59"/>
      <c r="O95" s="59"/>
      <c r="P95" s="59"/>
      <c r="Q95" s="59"/>
      <c r="R95" s="59"/>
      <c r="S95" s="144"/>
    </row>
    <row r="96" spans="1:38" ht="15.75" customHeight="1">
      <c r="A96" s="94"/>
      <c r="B96" s="65" t="s">
        <v>21</v>
      </c>
      <c r="C96" s="57">
        <f>SUM(C90:C95)</f>
        <v>595</v>
      </c>
      <c r="D96" s="57">
        <f t="shared" ref="D96:R96" si="17">SUM(D90:D95)</f>
        <v>33.377819548872182</v>
      </c>
      <c r="E96" s="57">
        <f t="shared" si="17"/>
        <v>23.527007518796996</v>
      </c>
      <c r="F96" s="57">
        <f t="shared" si="17"/>
        <v>85.881353383458645</v>
      </c>
      <c r="G96" s="57">
        <f t="shared" si="17"/>
        <v>688.77975939849614</v>
      </c>
      <c r="H96" s="57">
        <f t="shared" si="17"/>
        <v>0.2119187969924812</v>
      </c>
      <c r="I96" s="57">
        <f t="shared" si="17"/>
        <v>0.72755639097744362</v>
      </c>
      <c r="J96" s="57">
        <f t="shared" si="17"/>
        <v>2.6803759398496241</v>
      </c>
      <c r="K96" s="57">
        <f t="shared" si="17"/>
        <v>1.4299999999999997</v>
      </c>
      <c r="L96" s="57">
        <f t="shared" si="17"/>
        <v>0.42</v>
      </c>
      <c r="M96" s="57">
        <f t="shared" si="17"/>
        <v>601.78917293233076</v>
      </c>
      <c r="N96" s="57">
        <f t="shared" si="17"/>
        <v>574.61609022556388</v>
      </c>
      <c r="O96" s="57">
        <f t="shared" si="17"/>
        <v>87.072781954887219</v>
      </c>
      <c r="P96" s="57">
        <f t="shared" si="17"/>
        <v>2.260075187969925</v>
      </c>
      <c r="Q96" s="57">
        <f t="shared" si="17"/>
        <v>2.2599999999999998</v>
      </c>
      <c r="R96" s="57">
        <f t="shared" si="17"/>
        <v>0</v>
      </c>
      <c r="S96" s="144"/>
    </row>
    <row r="97" spans="1:38" ht="15.75" customHeight="1">
      <c r="A97" s="97"/>
      <c r="B97" s="58" t="s">
        <v>98</v>
      </c>
      <c r="C97" s="58"/>
      <c r="D97" s="59">
        <v>19.25</v>
      </c>
      <c r="E97" s="59">
        <v>19.75</v>
      </c>
      <c r="F97" s="59">
        <v>83.75</v>
      </c>
      <c r="G97" s="59">
        <v>587.5</v>
      </c>
      <c r="H97" s="59">
        <v>0.3</v>
      </c>
      <c r="I97" s="59">
        <v>0.35</v>
      </c>
      <c r="J97" s="59">
        <v>15</v>
      </c>
      <c r="K97" s="59">
        <v>0.17499999999999999</v>
      </c>
      <c r="L97" s="59">
        <v>2.5</v>
      </c>
      <c r="M97" s="59">
        <v>275</v>
      </c>
      <c r="N97" s="59">
        <v>412.5</v>
      </c>
      <c r="O97" s="59">
        <v>62.5</v>
      </c>
      <c r="P97" s="59">
        <v>3</v>
      </c>
      <c r="Q97" s="59">
        <v>2.5</v>
      </c>
      <c r="R97" s="59">
        <v>2.5000000000000001E-2</v>
      </c>
      <c r="S97" s="144"/>
    </row>
    <row r="98" spans="1:38" s="68" customFormat="1" ht="15.75" customHeight="1">
      <c r="A98" s="177" t="s">
        <v>118</v>
      </c>
      <c r="B98" s="178"/>
      <c r="C98" s="49"/>
      <c r="D98" s="49"/>
      <c r="E98" s="49"/>
      <c r="F98" s="49"/>
      <c r="G98" s="49"/>
      <c r="H98" s="49"/>
      <c r="I98" s="49"/>
      <c r="J98" s="49"/>
      <c r="K98" s="49"/>
      <c r="L98" s="49"/>
      <c r="M98" s="49"/>
      <c r="N98" s="49"/>
      <c r="O98" s="49"/>
      <c r="P98" s="49"/>
      <c r="Q98" s="49"/>
      <c r="R98" s="49"/>
      <c r="S98" s="144"/>
      <c r="T98" s="154"/>
      <c r="U98" s="154"/>
      <c r="V98" s="154"/>
      <c r="W98" s="154"/>
      <c r="X98" s="154"/>
      <c r="Y98" s="154"/>
      <c r="Z98" s="154"/>
      <c r="AA98" s="154"/>
      <c r="AB98" s="154"/>
      <c r="AC98" s="154"/>
      <c r="AD98" s="154"/>
      <c r="AE98" s="154"/>
      <c r="AF98" s="154"/>
      <c r="AG98" s="154"/>
      <c r="AH98" s="154"/>
      <c r="AI98" s="154"/>
      <c r="AJ98" s="154"/>
      <c r="AK98" s="154"/>
      <c r="AL98" s="152"/>
    </row>
    <row r="99" spans="1:38" ht="15.75" customHeight="1">
      <c r="A99" s="91"/>
      <c r="B99" s="51" t="s">
        <v>120</v>
      </c>
      <c r="C99" s="51">
        <v>70</v>
      </c>
      <c r="D99" s="52">
        <v>0.48719999999999997</v>
      </c>
      <c r="E99" s="52">
        <v>6.9599999999999995E-2</v>
      </c>
      <c r="F99" s="52">
        <v>1.3223999999999998</v>
      </c>
      <c r="G99" s="52">
        <f>F99*4+E99*9+D99*4</f>
        <v>7.8647999999999989</v>
      </c>
      <c r="H99" s="52">
        <v>2.3199999999999998E-2</v>
      </c>
      <c r="I99" s="52">
        <v>1.1599999999999999E-2</v>
      </c>
      <c r="J99" s="52">
        <v>3.4103999999999997</v>
      </c>
      <c r="K99" s="52">
        <v>0</v>
      </c>
      <c r="L99" s="52">
        <v>6.9599999999999995E-2</v>
      </c>
      <c r="M99" s="52">
        <v>11.831999999999999</v>
      </c>
      <c r="N99" s="52">
        <v>20.88</v>
      </c>
      <c r="O99" s="52">
        <v>9.7439999999999998</v>
      </c>
      <c r="P99" s="52">
        <v>0.34799999999999998</v>
      </c>
      <c r="Q99" s="52">
        <v>0.11899999999999999</v>
      </c>
      <c r="R99" s="52">
        <v>0</v>
      </c>
      <c r="S99" s="144"/>
    </row>
    <row r="100" spans="1:38" s="52" customFormat="1" ht="15.75" customHeight="1">
      <c r="A100" s="91">
        <v>297</v>
      </c>
      <c r="B100" s="51" t="s">
        <v>87</v>
      </c>
      <c r="C100" s="51">
        <f>65</f>
        <v>65</v>
      </c>
      <c r="D100" s="52">
        <v>6.86</v>
      </c>
      <c r="E100" s="52">
        <v>10.24</v>
      </c>
      <c r="F100" s="52">
        <v>4.05</v>
      </c>
      <c r="G100" s="52">
        <f t="shared" ref="G100:G105" si="18">F100*4+E100*9+D100*4</f>
        <v>135.80000000000001</v>
      </c>
      <c r="H100" s="52">
        <v>0.02</v>
      </c>
      <c r="I100" s="52">
        <v>0.06</v>
      </c>
      <c r="J100" s="52">
        <v>0.51</v>
      </c>
      <c r="K100" s="52">
        <v>0.39</v>
      </c>
      <c r="L100" s="52">
        <v>2.4049999999999998</v>
      </c>
      <c r="M100" s="52">
        <v>24.21</v>
      </c>
      <c r="N100" s="52">
        <v>53.55</v>
      </c>
      <c r="O100" s="52">
        <v>7.21</v>
      </c>
      <c r="P100" s="52">
        <v>0.56999999999999995</v>
      </c>
      <c r="Q100" s="52">
        <v>1.99</v>
      </c>
      <c r="R100" s="52">
        <v>0.02</v>
      </c>
      <c r="S100" s="144"/>
      <c r="T100" s="154"/>
      <c r="U100" s="154"/>
      <c r="V100" s="154"/>
      <c r="W100" s="154"/>
      <c r="X100" s="154"/>
      <c r="Y100" s="154"/>
      <c r="Z100" s="154"/>
      <c r="AA100" s="154"/>
      <c r="AB100" s="154"/>
      <c r="AC100" s="154"/>
      <c r="AD100" s="154"/>
      <c r="AE100" s="154"/>
      <c r="AF100" s="154"/>
      <c r="AG100" s="154"/>
      <c r="AH100" s="154"/>
      <c r="AI100" s="154"/>
      <c r="AJ100" s="154"/>
      <c r="AK100" s="154"/>
      <c r="AL100" s="149"/>
    </row>
    <row r="101" spans="1:38" s="52" customFormat="1" ht="15.75" customHeight="1">
      <c r="A101" s="98">
        <v>203</v>
      </c>
      <c r="B101" s="61" t="s">
        <v>36</v>
      </c>
      <c r="C101" s="61">
        <v>110</v>
      </c>
      <c r="D101" s="55">
        <v>4.1399999999999997</v>
      </c>
      <c r="E101" s="55">
        <v>5</v>
      </c>
      <c r="F101" s="55">
        <v>23.4</v>
      </c>
      <c r="G101" s="52">
        <f t="shared" si="18"/>
        <v>155.16</v>
      </c>
      <c r="H101" s="55">
        <v>0.04</v>
      </c>
      <c r="I101" s="55">
        <v>8.0000000000000002E-3</v>
      </c>
      <c r="J101" s="55">
        <v>0</v>
      </c>
      <c r="K101" s="55">
        <v>0</v>
      </c>
      <c r="L101" s="55">
        <v>0.56999999999999995</v>
      </c>
      <c r="M101" s="55">
        <v>8.1999999999999993</v>
      </c>
      <c r="N101" s="55">
        <v>27.2</v>
      </c>
      <c r="O101" s="55">
        <v>6.32</v>
      </c>
      <c r="P101" s="55">
        <v>0.62</v>
      </c>
      <c r="Q101" s="52">
        <v>0</v>
      </c>
      <c r="R101" s="52">
        <v>0</v>
      </c>
      <c r="S101" s="144"/>
      <c r="T101" s="154"/>
      <c r="U101" s="154"/>
      <c r="V101" s="154"/>
      <c r="W101" s="154"/>
      <c r="X101" s="154"/>
      <c r="Y101" s="154"/>
      <c r="Z101" s="154"/>
      <c r="AA101" s="154"/>
      <c r="AB101" s="154"/>
      <c r="AC101" s="154"/>
      <c r="AD101" s="154"/>
      <c r="AE101" s="154"/>
      <c r="AF101" s="154"/>
      <c r="AG101" s="154"/>
      <c r="AH101" s="154"/>
      <c r="AI101" s="154"/>
      <c r="AJ101" s="154"/>
      <c r="AK101" s="154"/>
      <c r="AL101" s="149"/>
    </row>
    <row r="102" spans="1:38" s="52" customFormat="1" ht="15.75" customHeight="1">
      <c r="A102" s="91">
        <v>379</v>
      </c>
      <c r="B102" s="51" t="s">
        <v>66</v>
      </c>
      <c r="C102" s="51">
        <v>200</v>
      </c>
      <c r="D102" s="52">
        <v>2.9</v>
      </c>
      <c r="E102" s="52">
        <v>2.5</v>
      </c>
      <c r="F102" s="52">
        <v>14.7</v>
      </c>
      <c r="G102" s="52">
        <f t="shared" si="18"/>
        <v>92.899999999999991</v>
      </c>
      <c r="H102" s="52">
        <v>0.02</v>
      </c>
      <c r="I102" s="52">
        <v>0.13</v>
      </c>
      <c r="J102" s="52">
        <v>0.6</v>
      </c>
      <c r="K102" s="52">
        <v>0.1</v>
      </c>
      <c r="L102" s="52">
        <v>0.1</v>
      </c>
      <c r="M102" s="52">
        <v>120.3</v>
      </c>
      <c r="N102" s="52">
        <v>90</v>
      </c>
      <c r="O102" s="52">
        <v>14</v>
      </c>
      <c r="P102" s="52">
        <v>0.13</v>
      </c>
      <c r="Q102" s="52">
        <v>0.4</v>
      </c>
      <c r="R102" s="52">
        <v>0</v>
      </c>
      <c r="S102" s="144"/>
      <c r="T102" s="154"/>
      <c r="U102" s="154"/>
      <c r="V102" s="154"/>
      <c r="W102" s="154"/>
      <c r="X102" s="154"/>
      <c r="Y102" s="154"/>
      <c r="Z102" s="154"/>
      <c r="AA102" s="154"/>
      <c r="AB102" s="154"/>
      <c r="AC102" s="154"/>
      <c r="AD102" s="154"/>
      <c r="AE102" s="154"/>
      <c r="AF102" s="154"/>
      <c r="AG102" s="154"/>
      <c r="AH102" s="154"/>
      <c r="AI102" s="154"/>
      <c r="AJ102" s="154"/>
      <c r="AK102" s="154"/>
      <c r="AL102" s="149"/>
    </row>
    <row r="103" spans="1:38" s="52" customFormat="1" ht="15.75" customHeight="1">
      <c r="A103" s="91"/>
      <c r="B103" s="51" t="s">
        <v>128</v>
      </c>
      <c r="C103" s="51">
        <v>25</v>
      </c>
      <c r="D103" s="52">
        <v>1.6625000000000001</v>
      </c>
      <c r="E103" s="52">
        <v>0.3</v>
      </c>
      <c r="F103" s="52">
        <v>10.462499999999999</v>
      </c>
      <c r="G103" s="52">
        <f t="shared" si="18"/>
        <v>51.199999999999996</v>
      </c>
      <c r="H103" s="52">
        <v>0.13124999999999998</v>
      </c>
      <c r="I103" s="52">
        <v>8.7499999999999981E-2</v>
      </c>
      <c r="J103" s="52">
        <v>0.17499999999999996</v>
      </c>
      <c r="K103" s="52">
        <v>0</v>
      </c>
      <c r="L103" s="52">
        <v>0.13124999999999998</v>
      </c>
      <c r="M103" s="52">
        <v>31.937499999999996</v>
      </c>
      <c r="N103" s="52">
        <v>54.6875</v>
      </c>
      <c r="O103" s="52">
        <v>17.5</v>
      </c>
      <c r="P103" s="52">
        <v>1.2249999999999999</v>
      </c>
      <c r="Q103" s="52">
        <v>0.3</v>
      </c>
      <c r="R103" s="52">
        <v>0.02</v>
      </c>
      <c r="S103" s="144"/>
      <c r="T103" s="154"/>
      <c r="U103" s="154"/>
      <c r="V103" s="154"/>
      <c r="W103" s="154"/>
      <c r="X103" s="154"/>
      <c r="Y103" s="154"/>
      <c r="Z103" s="154"/>
      <c r="AA103" s="154"/>
      <c r="AB103" s="154"/>
      <c r="AC103" s="154"/>
      <c r="AD103" s="154"/>
      <c r="AE103" s="154"/>
      <c r="AF103" s="154"/>
      <c r="AG103" s="154"/>
      <c r="AH103" s="154"/>
      <c r="AI103" s="154"/>
      <c r="AJ103" s="154"/>
      <c r="AK103" s="154"/>
      <c r="AL103" s="149"/>
    </row>
    <row r="104" spans="1:38" s="52" customFormat="1" ht="15.75" customHeight="1">
      <c r="A104" s="99"/>
      <c r="B104" s="51" t="s">
        <v>4</v>
      </c>
      <c r="C104" s="51">
        <v>40</v>
      </c>
      <c r="D104" s="52">
        <f>1.35*2</f>
        <v>2.7</v>
      </c>
      <c r="E104" s="52">
        <f>0.172*2</f>
        <v>0.34399999999999997</v>
      </c>
      <c r="F104" s="52">
        <f>10.03*2</f>
        <v>20.059999999999999</v>
      </c>
      <c r="G104" s="52">
        <f t="shared" si="18"/>
        <v>94.135999999999996</v>
      </c>
      <c r="H104" s="52">
        <v>2.4E-2</v>
      </c>
      <c r="I104" s="52">
        <v>5.0000000000000001E-3</v>
      </c>
      <c r="J104" s="52">
        <v>0</v>
      </c>
      <c r="K104" s="52">
        <v>0</v>
      </c>
      <c r="L104" s="52">
        <v>0.42</v>
      </c>
      <c r="M104" s="52">
        <v>8</v>
      </c>
      <c r="N104" s="52">
        <v>26</v>
      </c>
      <c r="O104" s="52">
        <v>5.6</v>
      </c>
      <c r="P104" s="52">
        <v>0.4</v>
      </c>
      <c r="Q104" s="52">
        <v>0.3</v>
      </c>
      <c r="R104" s="52">
        <v>0</v>
      </c>
      <c r="S104" s="144"/>
      <c r="T104" s="154"/>
      <c r="U104" s="154"/>
      <c r="V104" s="154"/>
      <c r="W104" s="154"/>
      <c r="X104" s="154"/>
      <c r="Y104" s="154"/>
      <c r="Z104" s="154"/>
      <c r="AA104" s="154"/>
      <c r="AB104" s="154"/>
      <c r="AC104" s="154"/>
      <c r="AD104" s="154"/>
      <c r="AE104" s="154"/>
      <c r="AF104" s="154"/>
      <c r="AG104" s="154"/>
      <c r="AH104" s="154"/>
      <c r="AI104" s="154"/>
      <c r="AJ104" s="154"/>
      <c r="AK104" s="154"/>
      <c r="AL104" s="149"/>
    </row>
    <row r="105" spans="1:38" s="52" customFormat="1" ht="15.75" customHeight="1">
      <c r="A105" s="91">
        <v>368</v>
      </c>
      <c r="B105" s="51" t="s">
        <v>134</v>
      </c>
      <c r="C105" s="51">
        <v>120</v>
      </c>
      <c r="D105" s="55">
        <f>0.9*1.2</f>
        <v>1.08</v>
      </c>
      <c r="E105" s="55">
        <f>0.1*1.2</f>
        <v>0.12</v>
      </c>
      <c r="F105" s="55">
        <f>9.5*1.2</f>
        <v>11.4</v>
      </c>
      <c r="G105" s="52">
        <f t="shared" si="18"/>
        <v>51</v>
      </c>
      <c r="H105" s="55">
        <v>0.04</v>
      </c>
      <c r="I105" s="55">
        <v>0.01</v>
      </c>
      <c r="J105" s="55">
        <v>5</v>
      </c>
      <c r="K105" s="55">
        <v>0</v>
      </c>
      <c r="L105" s="55">
        <v>0.33</v>
      </c>
      <c r="M105" s="55">
        <v>25</v>
      </c>
      <c r="N105" s="55">
        <v>18.3</v>
      </c>
      <c r="O105" s="55">
        <v>14.16</v>
      </c>
      <c r="P105" s="55">
        <v>0.5</v>
      </c>
      <c r="Q105" s="52">
        <v>0.48</v>
      </c>
      <c r="R105" s="52">
        <v>1.0000000000000001E-5</v>
      </c>
      <c r="S105" s="144"/>
      <c r="T105" s="154"/>
      <c r="U105" s="154"/>
      <c r="V105" s="154"/>
      <c r="W105" s="154"/>
      <c r="X105" s="154"/>
      <c r="Y105" s="154"/>
      <c r="Z105" s="154"/>
      <c r="AA105" s="154"/>
      <c r="AB105" s="154"/>
      <c r="AC105" s="154"/>
      <c r="AD105" s="154"/>
      <c r="AE105" s="154"/>
      <c r="AF105" s="154"/>
      <c r="AG105" s="154"/>
      <c r="AH105" s="154"/>
      <c r="AI105" s="154"/>
      <c r="AJ105" s="154"/>
      <c r="AK105" s="154"/>
      <c r="AL105" s="149"/>
    </row>
    <row r="106" spans="1:38" ht="15.75" customHeight="1">
      <c r="A106" s="91"/>
      <c r="B106" s="51"/>
      <c r="C106" s="51"/>
      <c r="D106" s="52"/>
      <c r="E106" s="52"/>
      <c r="F106" s="52"/>
      <c r="G106" s="52"/>
      <c r="H106" s="52"/>
      <c r="I106" s="52"/>
      <c r="J106" s="52"/>
      <c r="K106" s="52"/>
      <c r="L106" s="52"/>
      <c r="M106" s="52"/>
      <c r="N106" s="52"/>
      <c r="O106" s="52"/>
      <c r="P106" s="52"/>
      <c r="Q106" s="52"/>
      <c r="R106" s="52"/>
      <c r="S106" s="144"/>
    </row>
    <row r="107" spans="1:38" s="68" customFormat="1" ht="15.75" customHeight="1">
      <c r="A107" s="94"/>
      <c r="B107" s="56" t="s">
        <v>21</v>
      </c>
      <c r="C107" s="57">
        <f>SUM(C99:C105)</f>
        <v>630</v>
      </c>
      <c r="D107" s="57">
        <f t="shared" ref="D107:R107" si="19">SUM(D99:D105)</f>
        <v>19.829700000000003</v>
      </c>
      <c r="E107" s="57">
        <f t="shared" si="19"/>
        <v>18.573600000000003</v>
      </c>
      <c r="F107" s="57">
        <f t="shared" si="19"/>
        <v>85.394899999999993</v>
      </c>
      <c r="G107" s="57">
        <f t="shared" si="19"/>
        <v>588.06079999999997</v>
      </c>
      <c r="H107" s="57">
        <f t="shared" si="19"/>
        <v>0.29844999999999999</v>
      </c>
      <c r="I107" s="57">
        <f t="shared" si="19"/>
        <v>0.31209999999999999</v>
      </c>
      <c r="J107" s="57">
        <f t="shared" si="19"/>
        <v>9.6953999999999994</v>
      </c>
      <c r="K107" s="57">
        <f t="shared" si="19"/>
        <v>0.49</v>
      </c>
      <c r="L107" s="57">
        <f t="shared" si="19"/>
        <v>4.0258499999999993</v>
      </c>
      <c r="M107" s="57">
        <f t="shared" si="19"/>
        <v>229.4795</v>
      </c>
      <c r="N107" s="57">
        <f t="shared" si="19"/>
        <v>290.61750000000001</v>
      </c>
      <c r="O107" s="57">
        <f t="shared" si="19"/>
        <v>74.534000000000006</v>
      </c>
      <c r="P107" s="57">
        <f t="shared" si="19"/>
        <v>3.7929999999999997</v>
      </c>
      <c r="Q107" s="57">
        <f t="shared" si="19"/>
        <v>3.5889999999999995</v>
      </c>
      <c r="R107" s="57">
        <f t="shared" si="19"/>
        <v>4.0010000000000004E-2</v>
      </c>
      <c r="S107" s="144"/>
      <c r="T107" s="154"/>
      <c r="U107" s="154"/>
      <c r="V107" s="154"/>
      <c r="W107" s="154"/>
      <c r="X107" s="154"/>
      <c r="Y107" s="154"/>
      <c r="Z107" s="154"/>
      <c r="AA107" s="154"/>
      <c r="AB107" s="154"/>
      <c r="AC107" s="154"/>
      <c r="AD107" s="154"/>
      <c r="AE107" s="154"/>
      <c r="AF107" s="154"/>
      <c r="AG107" s="154"/>
      <c r="AH107" s="154"/>
      <c r="AI107" s="154"/>
      <c r="AJ107" s="154"/>
      <c r="AK107" s="154"/>
      <c r="AL107" s="152"/>
    </row>
    <row r="108" spans="1:38" ht="15.75" customHeight="1">
      <c r="B108" s="58" t="s">
        <v>98</v>
      </c>
      <c r="C108" s="58"/>
      <c r="D108" s="59">
        <v>19.25</v>
      </c>
      <c r="E108" s="59">
        <v>19.75</v>
      </c>
      <c r="F108" s="59">
        <v>83.75</v>
      </c>
      <c r="G108" s="59">
        <v>587.5</v>
      </c>
      <c r="H108" s="59">
        <v>0.3</v>
      </c>
      <c r="I108" s="59">
        <v>0.35</v>
      </c>
      <c r="J108" s="59">
        <v>15</v>
      </c>
      <c r="K108" s="59">
        <v>0.17499999999999999</v>
      </c>
      <c r="L108" s="59">
        <v>2.5</v>
      </c>
      <c r="M108" s="59">
        <v>275</v>
      </c>
      <c r="N108" s="59">
        <v>412.5</v>
      </c>
      <c r="O108" s="59">
        <v>62.5</v>
      </c>
      <c r="P108" s="59">
        <v>3</v>
      </c>
      <c r="Q108" s="59">
        <v>2.5</v>
      </c>
      <c r="R108" s="59">
        <v>2.5000000000000001E-2</v>
      </c>
      <c r="S108" s="144"/>
    </row>
    <row r="109" spans="1:38" ht="35.25" customHeight="1">
      <c r="B109" s="58"/>
      <c r="C109" s="58"/>
      <c r="D109" s="59"/>
      <c r="E109" s="59"/>
      <c r="F109" s="59"/>
      <c r="G109" s="59"/>
      <c r="H109" s="59"/>
      <c r="I109" s="59"/>
      <c r="J109" s="59"/>
      <c r="K109" s="59"/>
      <c r="L109" s="59"/>
      <c r="M109" s="59"/>
      <c r="N109" s="59"/>
      <c r="O109" s="59"/>
      <c r="P109" s="59"/>
      <c r="Q109" s="59"/>
      <c r="R109" s="59"/>
      <c r="S109" s="144"/>
    </row>
    <row r="110" spans="1:38" s="46" customFormat="1" ht="15.75" customHeight="1">
      <c r="A110" s="90"/>
      <c r="B110" s="47"/>
      <c r="C110" s="63"/>
      <c r="D110" s="63"/>
      <c r="E110" s="63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S110" s="144"/>
      <c r="T110" s="154"/>
      <c r="U110" s="154"/>
      <c r="V110" s="154"/>
      <c r="W110" s="154"/>
      <c r="X110" s="154"/>
      <c r="Y110" s="154"/>
      <c r="Z110" s="154"/>
      <c r="AA110" s="154"/>
      <c r="AB110" s="154"/>
      <c r="AC110" s="154"/>
      <c r="AD110" s="154"/>
      <c r="AE110" s="154"/>
      <c r="AF110" s="154"/>
      <c r="AG110" s="154"/>
      <c r="AH110" s="154"/>
      <c r="AI110" s="154"/>
      <c r="AJ110" s="154"/>
      <c r="AK110" s="154"/>
      <c r="AL110" s="153"/>
    </row>
    <row r="111" spans="1:38" ht="15.75" customHeight="1">
      <c r="A111" s="103"/>
      <c r="B111" s="68"/>
      <c r="D111" s="182" t="s">
        <v>150</v>
      </c>
      <c r="E111" s="182"/>
      <c r="F111" s="182"/>
      <c r="G111" s="183" t="s">
        <v>151</v>
      </c>
      <c r="H111" s="186" t="s">
        <v>152</v>
      </c>
      <c r="I111" s="186"/>
      <c r="J111" s="186"/>
      <c r="K111" s="186"/>
      <c r="L111" s="186"/>
      <c r="M111" s="186" t="s">
        <v>149</v>
      </c>
      <c r="N111" s="186"/>
      <c r="O111" s="186"/>
      <c r="P111" s="186"/>
      <c r="Q111" s="176"/>
      <c r="R111" s="90"/>
      <c r="S111" s="107"/>
    </row>
    <row r="112" spans="1:38" s="46" customFormat="1" ht="43.5" customHeight="1">
      <c r="A112" s="103"/>
      <c r="D112" s="105" t="s">
        <v>0</v>
      </c>
      <c r="E112" s="105" t="s">
        <v>1</v>
      </c>
      <c r="F112" s="105" t="s">
        <v>2</v>
      </c>
      <c r="G112" s="184"/>
      <c r="H112" s="176" t="s">
        <v>41</v>
      </c>
      <c r="I112" s="176" t="s">
        <v>45</v>
      </c>
      <c r="J112" s="176" t="s">
        <v>42</v>
      </c>
      <c r="K112" s="176" t="s">
        <v>43</v>
      </c>
      <c r="L112" s="176" t="s">
        <v>44</v>
      </c>
      <c r="M112" s="105" t="s">
        <v>46</v>
      </c>
      <c r="N112" s="105" t="s">
        <v>47</v>
      </c>
      <c r="O112" s="105" t="s">
        <v>48</v>
      </c>
      <c r="P112" s="105" t="s">
        <v>49</v>
      </c>
      <c r="Q112" s="105" t="s">
        <v>100</v>
      </c>
      <c r="R112" s="105" t="s">
        <v>99</v>
      </c>
      <c r="S112" s="147"/>
      <c r="T112" s="154"/>
      <c r="U112" s="154"/>
      <c r="V112" s="154"/>
      <c r="W112" s="154"/>
      <c r="X112" s="154"/>
      <c r="Y112" s="154"/>
      <c r="Z112" s="154"/>
      <c r="AA112" s="154"/>
      <c r="AB112" s="154"/>
      <c r="AC112" s="154"/>
      <c r="AD112" s="154"/>
      <c r="AE112" s="154"/>
      <c r="AF112" s="154"/>
      <c r="AG112" s="154"/>
      <c r="AH112" s="154"/>
      <c r="AI112" s="154"/>
      <c r="AJ112" s="154"/>
      <c r="AK112" s="154"/>
      <c r="AL112" s="153"/>
    </row>
    <row r="113" spans="1:38" s="52" customFormat="1" ht="15.75" customHeight="1">
      <c r="A113" s="103"/>
      <c r="B113" s="46" t="s">
        <v>104</v>
      </c>
      <c r="D113" s="46">
        <v>77</v>
      </c>
      <c r="E113" s="46">
        <v>79</v>
      </c>
      <c r="F113" s="46">
        <v>335</v>
      </c>
      <c r="G113" s="46">
        <v>2350</v>
      </c>
      <c r="H113" s="46">
        <v>1.2</v>
      </c>
      <c r="I113" s="46">
        <v>1.4</v>
      </c>
      <c r="J113" s="46">
        <v>60</v>
      </c>
      <c r="K113" s="46">
        <v>0.7</v>
      </c>
      <c r="L113" s="46">
        <v>10</v>
      </c>
      <c r="M113" s="46">
        <v>1100</v>
      </c>
      <c r="N113" s="46">
        <v>1650</v>
      </c>
      <c r="O113" s="46">
        <v>250</v>
      </c>
      <c r="P113" s="46">
        <v>12</v>
      </c>
      <c r="Q113" s="46">
        <v>10</v>
      </c>
      <c r="R113" s="46">
        <v>0.1</v>
      </c>
      <c r="S113" s="107"/>
      <c r="T113" s="154"/>
      <c r="U113" s="154"/>
      <c r="V113" s="154"/>
      <c r="W113" s="154"/>
      <c r="X113" s="154"/>
      <c r="Y113" s="154"/>
      <c r="Z113" s="154"/>
      <c r="AA113" s="154"/>
      <c r="AB113" s="154"/>
      <c r="AC113" s="154"/>
      <c r="AD113" s="154"/>
      <c r="AE113" s="154"/>
      <c r="AF113" s="154"/>
      <c r="AG113" s="154"/>
      <c r="AH113" s="154"/>
      <c r="AI113" s="154"/>
      <c r="AJ113" s="154"/>
      <c r="AK113" s="154"/>
      <c r="AL113" s="149"/>
    </row>
    <row r="114" spans="1:38" s="52" customFormat="1" ht="15.75" customHeight="1">
      <c r="A114" s="103"/>
      <c r="B114" s="72" t="s">
        <v>97</v>
      </c>
      <c r="C114" s="72"/>
      <c r="D114" s="72">
        <f>D113*0.25</f>
        <v>19.25</v>
      </c>
      <c r="E114" s="72">
        <f t="shared" ref="E114:R114" si="20">E113*0.25</f>
        <v>19.75</v>
      </c>
      <c r="F114" s="72">
        <f t="shared" si="20"/>
        <v>83.75</v>
      </c>
      <c r="G114" s="72">
        <f t="shared" si="20"/>
        <v>587.5</v>
      </c>
      <c r="H114" s="72">
        <f t="shared" si="20"/>
        <v>0.3</v>
      </c>
      <c r="I114" s="72">
        <f t="shared" si="20"/>
        <v>0.35</v>
      </c>
      <c r="J114" s="72">
        <f t="shared" si="20"/>
        <v>15</v>
      </c>
      <c r="K114" s="72">
        <f t="shared" si="20"/>
        <v>0.17499999999999999</v>
      </c>
      <c r="L114" s="72">
        <f t="shared" si="20"/>
        <v>2.5</v>
      </c>
      <c r="M114" s="72">
        <f t="shared" si="20"/>
        <v>275</v>
      </c>
      <c r="N114" s="72">
        <f t="shared" si="20"/>
        <v>412.5</v>
      </c>
      <c r="O114" s="72">
        <f t="shared" si="20"/>
        <v>62.5</v>
      </c>
      <c r="P114" s="72">
        <f t="shared" si="20"/>
        <v>3</v>
      </c>
      <c r="Q114" s="72">
        <f t="shared" si="20"/>
        <v>2.5</v>
      </c>
      <c r="R114" s="72">
        <f t="shared" si="20"/>
        <v>2.5000000000000001E-2</v>
      </c>
      <c r="S114" s="144"/>
      <c r="T114" s="154"/>
      <c r="U114" s="154"/>
      <c r="V114" s="154"/>
      <c r="W114" s="154"/>
      <c r="X114" s="154"/>
      <c r="Y114" s="154"/>
      <c r="Z114" s="154"/>
      <c r="AA114" s="154"/>
      <c r="AB114" s="154"/>
      <c r="AC114" s="154"/>
      <c r="AD114" s="154"/>
      <c r="AE114" s="154"/>
      <c r="AF114" s="154"/>
      <c r="AG114" s="154"/>
      <c r="AH114" s="154"/>
      <c r="AI114" s="154"/>
      <c r="AJ114" s="154"/>
      <c r="AK114" s="154"/>
      <c r="AL114" s="149"/>
    </row>
    <row r="115" spans="1:38" s="52" customFormat="1" ht="15.75" customHeight="1">
      <c r="A115" s="103"/>
      <c r="B115" s="46"/>
      <c r="D115" s="46"/>
      <c r="E115" s="46"/>
      <c r="F115" s="46"/>
      <c r="G115" s="46"/>
      <c r="H115" s="46"/>
      <c r="I115" s="46"/>
      <c r="J115" s="46"/>
      <c r="K115" s="46"/>
      <c r="L115" s="46"/>
      <c r="M115" s="46"/>
      <c r="N115" s="46"/>
      <c r="O115" s="46"/>
      <c r="P115" s="46"/>
      <c r="Q115" s="46"/>
      <c r="R115" s="46"/>
      <c r="S115" s="144"/>
      <c r="T115" s="154"/>
      <c r="U115" s="154"/>
      <c r="V115" s="154"/>
      <c r="W115" s="154"/>
      <c r="X115" s="154"/>
      <c r="Y115" s="154"/>
      <c r="Z115" s="154"/>
      <c r="AA115" s="154"/>
      <c r="AB115" s="154"/>
      <c r="AC115" s="154"/>
      <c r="AD115" s="154"/>
      <c r="AE115" s="154"/>
      <c r="AF115" s="154"/>
      <c r="AG115" s="154"/>
      <c r="AH115" s="154"/>
      <c r="AI115" s="154"/>
      <c r="AJ115" s="154"/>
      <c r="AK115" s="154"/>
      <c r="AL115" s="149"/>
    </row>
    <row r="116" spans="1:38" s="62" customFormat="1" ht="15.75" customHeight="1">
      <c r="A116" s="104"/>
      <c r="B116" s="70" t="s">
        <v>101</v>
      </c>
      <c r="C116" s="71"/>
      <c r="D116" s="71">
        <f t="shared" ref="D116:R116" si="21">(D107+D96+D87+D75+D64+D53+D43+D33+D22+D12)/10</f>
        <v>21.660979111749857</v>
      </c>
      <c r="E116" s="71">
        <f t="shared" si="21"/>
        <v>19.649528253376843</v>
      </c>
      <c r="F116" s="71">
        <f t="shared" si="21"/>
        <v>84.85084443469097</v>
      </c>
      <c r="G116" s="71">
        <f t="shared" si="21"/>
        <v>613.05564846615482</v>
      </c>
      <c r="H116" s="71">
        <f t="shared" si="21"/>
        <v>0.38727173741775484</v>
      </c>
      <c r="I116" s="71">
        <f t="shared" si="21"/>
        <v>0.51103673953469764</v>
      </c>
      <c r="J116" s="71">
        <f t="shared" si="21"/>
        <v>19.687315202471716</v>
      </c>
      <c r="K116" s="71">
        <f t="shared" si="21"/>
        <v>1.0261</v>
      </c>
      <c r="L116" s="71">
        <f t="shared" si="21"/>
        <v>4.9329027936808485</v>
      </c>
      <c r="M116" s="71">
        <f t="shared" si="21"/>
        <v>266.29441882403461</v>
      </c>
      <c r="N116" s="71">
        <f t="shared" si="21"/>
        <v>382.36664532697193</v>
      </c>
      <c r="O116" s="71">
        <f t="shared" si="21"/>
        <v>112.31448757270178</v>
      </c>
      <c r="P116" s="71">
        <f t="shared" si="21"/>
        <v>11.179941463647076</v>
      </c>
      <c r="Q116" s="71">
        <f t="shared" si="21"/>
        <v>3.2841800000000001</v>
      </c>
      <c r="R116" s="71">
        <f t="shared" si="21"/>
        <v>3.9103000000000006E-2</v>
      </c>
      <c r="S116" s="146"/>
      <c r="T116" s="155"/>
      <c r="U116" s="155"/>
      <c r="V116" s="155"/>
      <c r="W116" s="155"/>
      <c r="X116" s="155"/>
      <c r="Y116" s="155"/>
      <c r="Z116" s="155"/>
      <c r="AA116" s="155"/>
      <c r="AB116" s="155"/>
      <c r="AC116" s="155"/>
      <c r="AD116" s="155"/>
      <c r="AE116" s="155"/>
      <c r="AF116" s="155"/>
      <c r="AG116" s="155"/>
      <c r="AH116" s="155"/>
      <c r="AI116" s="155"/>
      <c r="AJ116" s="155"/>
      <c r="AK116" s="155"/>
      <c r="AL116" s="151"/>
    </row>
    <row r="117" spans="1:38" s="68" customFormat="1" ht="15.75" customHeight="1">
      <c r="A117" s="90"/>
      <c r="B117" s="69"/>
      <c r="D117" s="52"/>
      <c r="E117" s="52"/>
      <c r="F117" s="52"/>
      <c r="G117" s="52"/>
      <c r="H117" s="52"/>
      <c r="I117" s="52"/>
      <c r="J117" s="52"/>
      <c r="K117" s="52"/>
      <c r="L117" s="52"/>
      <c r="M117" s="52"/>
      <c r="N117" s="52"/>
      <c r="O117" s="52"/>
      <c r="P117" s="52"/>
      <c r="Q117" s="52"/>
      <c r="R117" s="52"/>
      <c r="S117" s="144"/>
      <c r="T117" s="154"/>
      <c r="U117" s="154"/>
      <c r="V117" s="154"/>
      <c r="W117" s="154"/>
      <c r="X117" s="154"/>
      <c r="Y117" s="154"/>
      <c r="Z117" s="154"/>
      <c r="AA117" s="154"/>
      <c r="AB117" s="154"/>
      <c r="AC117" s="154"/>
      <c r="AD117" s="154"/>
      <c r="AE117" s="154"/>
      <c r="AF117" s="154"/>
      <c r="AG117" s="154"/>
      <c r="AH117" s="154"/>
      <c r="AI117" s="154"/>
      <c r="AJ117" s="154"/>
      <c r="AK117" s="154"/>
      <c r="AL117" s="152"/>
    </row>
    <row r="118" spans="1:38" s="164" customFormat="1" ht="15.75" customHeight="1">
      <c r="A118" s="159"/>
      <c r="B118" s="160"/>
      <c r="C118" s="106"/>
      <c r="D118" s="161"/>
      <c r="E118" s="161"/>
      <c r="F118" s="161"/>
      <c r="G118" s="161"/>
      <c r="H118" s="161"/>
      <c r="I118" s="161"/>
      <c r="J118" s="161"/>
      <c r="K118" s="161"/>
      <c r="L118" s="161"/>
      <c r="M118" s="161"/>
      <c r="N118" s="161"/>
      <c r="O118" s="161"/>
      <c r="P118" s="161"/>
      <c r="Q118" s="161"/>
      <c r="R118" s="161"/>
      <c r="S118" s="162"/>
      <c r="T118" s="154"/>
      <c r="U118" s="154"/>
      <c r="V118" s="154"/>
      <c r="W118" s="154"/>
      <c r="X118" s="154"/>
      <c r="Y118" s="154"/>
      <c r="Z118" s="154"/>
      <c r="AA118" s="154"/>
      <c r="AB118" s="154"/>
      <c r="AC118" s="154"/>
      <c r="AD118" s="154"/>
      <c r="AE118" s="154"/>
      <c r="AF118" s="154"/>
      <c r="AG118" s="154"/>
      <c r="AH118" s="154"/>
      <c r="AI118" s="154"/>
      <c r="AJ118" s="154"/>
      <c r="AK118" s="154"/>
      <c r="AL118" s="163"/>
    </row>
    <row r="119" spans="1:38" s="154" customFormat="1" ht="15.75" customHeight="1">
      <c r="A119" s="172"/>
      <c r="B119" s="173"/>
    </row>
    <row r="120" spans="1:38" s="154" customFormat="1" ht="15.75" customHeight="1">
      <c r="A120" s="172"/>
      <c r="B120" s="173"/>
    </row>
    <row r="121" spans="1:38" s="154" customFormat="1" ht="15.75" customHeight="1">
      <c r="A121" s="172"/>
      <c r="B121" s="173"/>
    </row>
    <row r="122" spans="1:38" s="154" customFormat="1" ht="15.75" customHeight="1">
      <c r="A122" s="172"/>
      <c r="B122" s="173"/>
    </row>
    <row r="123" spans="1:38" s="154" customFormat="1" ht="15.75" customHeight="1">
      <c r="A123" s="172"/>
      <c r="B123" s="173"/>
    </row>
    <row r="124" spans="1:38" s="154" customFormat="1" ht="15.75" customHeight="1">
      <c r="A124" s="172"/>
      <c r="B124" s="173"/>
    </row>
    <row r="125" spans="1:38" s="154" customFormat="1" ht="15.75" customHeight="1">
      <c r="A125" s="172"/>
      <c r="B125" s="173"/>
    </row>
    <row r="126" spans="1:38" s="154" customFormat="1" ht="15.75" customHeight="1">
      <c r="A126" s="172"/>
      <c r="B126" s="173"/>
    </row>
    <row r="127" spans="1:38" s="154" customFormat="1" ht="15.75" customHeight="1">
      <c r="A127" s="172"/>
      <c r="B127" s="173"/>
    </row>
    <row r="128" spans="1:38" s="154" customFormat="1" ht="15.75" customHeight="1">
      <c r="A128" s="172"/>
      <c r="B128" s="173"/>
    </row>
    <row r="129" spans="1:2" s="154" customFormat="1" ht="15.75" customHeight="1">
      <c r="A129" s="172"/>
      <c r="B129" s="173"/>
    </row>
    <row r="130" spans="1:2" s="154" customFormat="1" ht="15.75" customHeight="1">
      <c r="A130" s="172"/>
      <c r="B130" s="173"/>
    </row>
    <row r="131" spans="1:2" s="154" customFormat="1" ht="15.75" customHeight="1">
      <c r="A131" s="172"/>
      <c r="B131" s="173"/>
    </row>
    <row r="132" spans="1:2" s="154" customFormat="1" ht="15.75" customHeight="1">
      <c r="A132" s="172"/>
      <c r="B132" s="173"/>
    </row>
    <row r="133" spans="1:2" s="154" customFormat="1" ht="15.75" customHeight="1">
      <c r="A133" s="172"/>
      <c r="B133" s="173"/>
    </row>
    <row r="134" spans="1:2" s="154" customFormat="1" ht="15.75" customHeight="1">
      <c r="A134" s="172"/>
      <c r="B134" s="173"/>
    </row>
    <row r="135" spans="1:2" s="154" customFormat="1" ht="15.75" customHeight="1">
      <c r="A135" s="172"/>
      <c r="B135" s="173"/>
    </row>
    <row r="136" spans="1:2" s="154" customFormat="1" ht="15.75" customHeight="1">
      <c r="A136" s="172"/>
      <c r="B136" s="173"/>
    </row>
    <row r="137" spans="1:2" s="154" customFormat="1" ht="15.75" customHeight="1">
      <c r="A137" s="172"/>
      <c r="B137" s="173"/>
    </row>
    <row r="138" spans="1:2" s="154" customFormat="1" ht="15.75" customHeight="1">
      <c r="A138" s="172"/>
      <c r="B138" s="173"/>
    </row>
    <row r="139" spans="1:2" s="154" customFormat="1" ht="15.75" customHeight="1">
      <c r="A139" s="172"/>
      <c r="B139" s="173"/>
    </row>
    <row r="140" spans="1:2" s="154" customFormat="1" ht="15.75" customHeight="1">
      <c r="A140" s="172"/>
      <c r="B140" s="173"/>
    </row>
    <row r="141" spans="1:2" s="154" customFormat="1" ht="15.75" customHeight="1">
      <c r="A141" s="172"/>
      <c r="B141" s="173"/>
    </row>
    <row r="142" spans="1:2" s="154" customFormat="1" ht="15.75" customHeight="1">
      <c r="A142" s="172"/>
      <c r="B142" s="173"/>
    </row>
    <row r="143" spans="1:2" s="154" customFormat="1" ht="15.75" customHeight="1">
      <c r="A143" s="172"/>
      <c r="B143" s="173"/>
    </row>
    <row r="144" spans="1:2" s="154" customFormat="1" ht="15.75" customHeight="1">
      <c r="A144" s="172"/>
      <c r="B144" s="173"/>
    </row>
    <row r="145" spans="1:38" s="154" customFormat="1" ht="15.75" customHeight="1">
      <c r="A145" s="172"/>
      <c r="B145" s="173"/>
    </row>
    <row r="146" spans="1:38" s="154" customFormat="1" ht="15.75" customHeight="1">
      <c r="A146" s="172"/>
      <c r="B146" s="173"/>
    </row>
    <row r="147" spans="1:38" s="154" customFormat="1" ht="15.75" customHeight="1">
      <c r="A147" s="172"/>
      <c r="B147" s="173"/>
    </row>
    <row r="148" spans="1:38" s="154" customFormat="1" ht="15.75" customHeight="1">
      <c r="A148" s="172"/>
      <c r="B148" s="173"/>
    </row>
    <row r="149" spans="1:38" s="171" customFormat="1" ht="15.75" customHeight="1">
      <c r="A149" s="165"/>
      <c r="B149" s="166"/>
      <c r="C149" s="167"/>
      <c r="D149" s="168"/>
      <c r="E149" s="168"/>
      <c r="F149" s="168"/>
      <c r="G149" s="168"/>
      <c r="H149" s="168"/>
      <c r="I149" s="168"/>
      <c r="J149" s="168"/>
      <c r="K149" s="168"/>
      <c r="L149" s="168"/>
      <c r="M149" s="168"/>
      <c r="N149" s="168"/>
      <c r="O149" s="168"/>
      <c r="P149" s="168"/>
      <c r="Q149" s="168"/>
      <c r="R149" s="168"/>
      <c r="S149" s="169"/>
      <c r="T149" s="154"/>
      <c r="U149" s="154"/>
      <c r="V149" s="154"/>
      <c r="W149" s="154"/>
      <c r="X149" s="154"/>
      <c r="Y149" s="154"/>
      <c r="Z149" s="154"/>
      <c r="AA149" s="154"/>
      <c r="AB149" s="154"/>
      <c r="AC149" s="154"/>
      <c r="AD149" s="154"/>
      <c r="AE149" s="154"/>
      <c r="AF149" s="154"/>
      <c r="AG149" s="154"/>
      <c r="AH149" s="154"/>
      <c r="AI149" s="154"/>
      <c r="AJ149" s="154"/>
      <c r="AK149" s="154"/>
      <c r="AL149" s="170"/>
    </row>
    <row r="150" spans="1:38" ht="15.75" customHeight="1">
      <c r="D150" s="52"/>
      <c r="E150" s="52"/>
      <c r="F150" s="52"/>
      <c r="G150" s="52"/>
      <c r="H150" s="52"/>
      <c r="I150" s="52"/>
      <c r="J150" s="52"/>
      <c r="K150" s="52"/>
      <c r="L150" s="52"/>
      <c r="M150" s="52"/>
      <c r="N150" s="52"/>
      <c r="O150" s="52"/>
      <c r="P150" s="52"/>
      <c r="Q150" s="52"/>
      <c r="R150" s="52"/>
      <c r="S150" s="144"/>
    </row>
    <row r="151" spans="1:38" ht="15.75" customHeight="1">
      <c r="D151" s="52"/>
      <c r="E151" s="52"/>
      <c r="F151" s="52"/>
      <c r="G151" s="52"/>
      <c r="H151" s="52"/>
      <c r="I151" s="52"/>
      <c r="J151" s="52"/>
      <c r="K151" s="52"/>
      <c r="L151" s="52"/>
      <c r="M151" s="52"/>
      <c r="N151" s="52"/>
      <c r="O151" s="52"/>
      <c r="P151" s="52"/>
      <c r="Q151" s="52"/>
      <c r="R151" s="52"/>
      <c r="S151" s="144"/>
    </row>
    <row r="152" spans="1:38" ht="15.75" customHeight="1">
      <c r="D152" s="52"/>
      <c r="E152" s="52"/>
      <c r="F152" s="52"/>
      <c r="G152" s="52"/>
      <c r="H152" s="52"/>
      <c r="I152" s="52"/>
      <c r="J152" s="52"/>
      <c r="K152" s="52"/>
      <c r="L152" s="52"/>
      <c r="M152" s="52"/>
      <c r="N152" s="52"/>
      <c r="O152" s="52"/>
      <c r="P152" s="52"/>
      <c r="Q152" s="52"/>
      <c r="R152" s="52"/>
      <c r="S152" s="144"/>
    </row>
    <row r="153" spans="1:38" ht="15.75" customHeight="1">
      <c r="D153" s="52"/>
      <c r="E153" s="52"/>
      <c r="F153" s="52"/>
      <c r="G153" s="52"/>
      <c r="H153" s="52"/>
      <c r="I153" s="52"/>
      <c r="J153" s="52"/>
      <c r="K153" s="52"/>
      <c r="L153" s="52"/>
      <c r="M153" s="52"/>
      <c r="N153" s="52"/>
      <c r="O153" s="52"/>
      <c r="P153" s="52"/>
      <c r="Q153" s="52"/>
      <c r="R153" s="52"/>
      <c r="S153" s="144"/>
    </row>
    <row r="154" spans="1:38" ht="15.75" customHeight="1">
      <c r="D154" s="52"/>
      <c r="E154" s="52"/>
      <c r="F154" s="52"/>
      <c r="G154" s="52"/>
      <c r="H154" s="52"/>
      <c r="I154" s="52"/>
      <c r="J154" s="52"/>
      <c r="K154" s="52"/>
      <c r="L154" s="52"/>
      <c r="M154" s="52"/>
      <c r="N154" s="52"/>
      <c r="O154" s="52"/>
      <c r="P154" s="52"/>
      <c r="Q154" s="52"/>
      <c r="R154" s="52"/>
      <c r="S154" s="144"/>
    </row>
    <row r="155" spans="1:38" ht="15.75" customHeight="1">
      <c r="D155" s="52"/>
      <c r="E155" s="52"/>
      <c r="F155" s="52"/>
      <c r="G155" s="52"/>
      <c r="H155" s="52"/>
      <c r="I155" s="52"/>
      <c r="J155" s="52"/>
      <c r="K155" s="52"/>
      <c r="L155" s="52"/>
      <c r="M155" s="52"/>
      <c r="N155" s="52"/>
      <c r="O155" s="52"/>
      <c r="P155" s="52"/>
      <c r="Q155" s="52"/>
      <c r="R155" s="52"/>
      <c r="S155" s="144"/>
    </row>
    <row r="156" spans="1:38" ht="15.75" customHeight="1">
      <c r="D156" s="52"/>
      <c r="E156" s="52"/>
      <c r="F156" s="52"/>
      <c r="G156" s="52"/>
      <c r="H156" s="52"/>
      <c r="I156" s="52"/>
      <c r="J156" s="52"/>
      <c r="K156" s="52"/>
      <c r="L156" s="52"/>
      <c r="M156" s="52"/>
      <c r="N156" s="52"/>
      <c r="O156" s="52"/>
      <c r="P156" s="52"/>
      <c r="Q156" s="52"/>
      <c r="R156" s="52"/>
      <c r="S156" s="144"/>
    </row>
    <row r="157" spans="1:38" ht="15.75" customHeight="1">
      <c r="D157" s="52"/>
      <c r="E157" s="52"/>
      <c r="F157" s="52"/>
      <c r="G157" s="52"/>
      <c r="H157" s="52"/>
      <c r="I157" s="52"/>
      <c r="J157" s="52"/>
      <c r="K157" s="52"/>
      <c r="L157" s="52"/>
      <c r="M157" s="52"/>
      <c r="N157" s="52"/>
      <c r="O157" s="52"/>
      <c r="P157" s="52"/>
      <c r="Q157" s="52"/>
      <c r="R157" s="52"/>
      <c r="S157" s="144"/>
    </row>
    <row r="158" spans="1:38" ht="15.75" customHeight="1">
      <c r="D158" s="52"/>
      <c r="E158" s="52"/>
      <c r="F158" s="52"/>
      <c r="G158" s="52"/>
      <c r="H158" s="52"/>
      <c r="I158" s="52"/>
      <c r="J158" s="52"/>
      <c r="K158" s="52"/>
      <c r="L158" s="52"/>
      <c r="M158" s="52"/>
      <c r="N158" s="52"/>
      <c r="O158" s="52"/>
      <c r="P158" s="52"/>
      <c r="Q158" s="52"/>
      <c r="R158" s="52"/>
      <c r="S158" s="144"/>
    </row>
    <row r="159" spans="1:38" ht="15.75" customHeight="1">
      <c r="D159" s="52"/>
      <c r="E159" s="52"/>
      <c r="F159" s="52"/>
      <c r="G159" s="52"/>
      <c r="H159" s="52"/>
      <c r="I159" s="52"/>
      <c r="J159" s="52"/>
      <c r="K159" s="52"/>
      <c r="L159" s="52"/>
      <c r="M159" s="52"/>
      <c r="N159" s="52"/>
      <c r="O159" s="52"/>
      <c r="P159" s="52"/>
      <c r="Q159" s="52"/>
      <c r="R159" s="52"/>
      <c r="S159" s="144"/>
    </row>
    <row r="160" spans="1:38" ht="15.75" customHeight="1">
      <c r="D160" s="52"/>
      <c r="E160" s="52"/>
      <c r="F160" s="52"/>
      <c r="G160" s="52"/>
      <c r="H160" s="52"/>
      <c r="I160" s="52"/>
      <c r="J160" s="52"/>
      <c r="K160" s="52"/>
      <c r="L160" s="52"/>
      <c r="M160" s="52"/>
      <c r="N160" s="52"/>
      <c r="O160" s="52"/>
      <c r="P160" s="52"/>
      <c r="Q160" s="52"/>
      <c r="R160" s="52"/>
      <c r="S160" s="144"/>
    </row>
    <row r="161" spans="4:19" ht="15.75" customHeight="1">
      <c r="D161" s="52"/>
      <c r="E161" s="52"/>
      <c r="F161" s="52"/>
      <c r="G161" s="52"/>
      <c r="H161" s="52"/>
      <c r="I161" s="52"/>
      <c r="J161" s="52"/>
      <c r="K161" s="52"/>
      <c r="L161" s="52"/>
      <c r="M161" s="52"/>
      <c r="N161" s="52"/>
      <c r="O161" s="52"/>
      <c r="P161" s="52"/>
      <c r="Q161" s="52"/>
      <c r="R161" s="52"/>
      <c r="S161" s="144"/>
    </row>
    <row r="162" spans="4:19" ht="15.75" customHeight="1">
      <c r="D162" s="52"/>
      <c r="E162" s="52"/>
      <c r="F162" s="52"/>
      <c r="G162" s="52"/>
      <c r="H162" s="52"/>
      <c r="I162" s="52"/>
      <c r="J162" s="52"/>
      <c r="K162" s="52"/>
      <c r="L162" s="52"/>
      <c r="M162" s="52"/>
      <c r="N162" s="52"/>
      <c r="O162" s="52"/>
      <c r="P162" s="52"/>
      <c r="Q162" s="52"/>
      <c r="R162" s="52"/>
      <c r="S162" s="144"/>
    </row>
    <row r="163" spans="4:19" ht="15.75" customHeight="1">
      <c r="D163" s="52"/>
      <c r="E163" s="52"/>
      <c r="F163" s="52"/>
      <c r="G163" s="52"/>
      <c r="H163" s="52"/>
      <c r="I163" s="52"/>
      <c r="J163" s="52"/>
      <c r="K163" s="52"/>
      <c r="L163" s="52"/>
      <c r="M163" s="52"/>
      <c r="N163" s="52"/>
      <c r="O163" s="52"/>
      <c r="P163" s="52"/>
      <c r="Q163" s="52"/>
      <c r="R163" s="52"/>
      <c r="S163" s="144"/>
    </row>
    <row r="164" spans="4:19" ht="15.75" customHeight="1">
      <c r="D164" s="52"/>
      <c r="E164" s="52"/>
      <c r="F164" s="52"/>
      <c r="G164" s="52"/>
      <c r="H164" s="52"/>
      <c r="I164" s="52"/>
      <c r="J164" s="52"/>
      <c r="K164" s="52"/>
      <c r="L164" s="52"/>
      <c r="M164" s="52"/>
      <c r="N164" s="52"/>
      <c r="O164" s="52"/>
      <c r="P164" s="52"/>
      <c r="Q164" s="52"/>
      <c r="R164" s="52"/>
      <c r="S164" s="144"/>
    </row>
    <row r="165" spans="4:19" ht="15.75" customHeight="1">
      <c r="D165" s="52"/>
      <c r="E165" s="52"/>
      <c r="F165" s="52"/>
      <c r="G165" s="52"/>
      <c r="H165" s="52"/>
      <c r="I165" s="52"/>
      <c r="J165" s="52"/>
      <c r="K165" s="52"/>
      <c r="L165" s="52"/>
      <c r="M165" s="52"/>
      <c r="N165" s="52"/>
      <c r="O165" s="52"/>
      <c r="P165" s="52"/>
      <c r="Q165" s="52"/>
      <c r="R165" s="52"/>
      <c r="S165" s="144"/>
    </row>
    <row r="166" spans="4:19" ht="15.75" customHeight="1">
      <c r="D166" s="52"/>
      <c r="E166" s="52"/>
      <c r="F166" s="52"/>
      <c r="G166" s="52"/>
      <c r="H166" s="52"/>
      <c r="I166" s="52"/>
      <c r="J166" s="52"/>
      <c r="K166" s="52"/>
      <c r="L166" s="52"/>
      <c r="M166" s="52"/>
      <c r="N166" s="52"/>
      <c r="O166" s="52"/>
      <c r="P166" s="52"/>
      <c r="Q166" s="52"/>
      <c r="R166" s="52"/>
      <c r="S166" s="144"/>
    </row>
    <row r="167" spans="4:19" ht="15.75" customHeight="1">
      <c r="D167" s="52"/>
      <c r="E167" s="52"/>
      <c r="F167" s="52"/>
      <c r="G167" s="52"/>
      <c r="H167" s="52"/>
      <c r="I167" s="52"/>
      <c r="J167" s="52"/>
      <c r="K167" s="52"/>
      <c r="L167" s="52"/>
      <c r="M167" s="52"/>
      <c r="N167" s="52"/>
      <c r="O167" s="52"/>
      <c r="P167" s="52"/>
      <c r="Q167" s="52"/>
      <c r="R167" s="52"/>
      <c r="S167" s="144"/>
    </row>
    <row r="168" spans="4:19" ht="15.75" customHeight="1">
      <c r="D168" s="52"/>
      <c r="E168" s="52"/>
      <c r="F168" s="52"/>
      <c r="G168" s="52"/>
      <c r="H168" s="52"/>
      <c r="I168" s="52"/>
      <c r="J168" s="52"/>
      <c r="K168" s="52"/>
      <c r="L168" s="52"/>
      <c r="M168" s="52"/>
      <c r="N168" s="52"/>
      <c r="O168" s="52"/>
      <c r="P168" s="52"/>
      <c r="Q168" s="52"/>
      <c r="R168" s="52"/>
      <c r="S168" s="144"/>
    </row>
    <row r="169" spans="4:19" ht="15.75" customHeight="1">
      <c r="D169" s="52"/>
      <c r="E169" s="52"/>
      <c r="F169" s="52"/>
      <c r="G169" s="52"/>
      <c r="H169" s="52"/>
      <c r="I169" s="52"/>
      <c r="J169" s="52"/>
      <c r="K169" s="52"/>
      <c r="L169" s="52"/>
      <c r="M169" s="52"/>
      <c r="N169" s="52"/>
      <c r="O169" s="52"/>
      <c r="P169" s="52"/>
      <c r="Q169" s="52"/>
      <c r="R169" s="52"/>
      <c r="S169" s="144"/>
    </row>
  </sheetData>
  <mergeCells count="18">
    <mergeCell ref="G111:G112"/>
    <mergeCell ref="H111:L111"/>
    <mergeCell ref="M111:P111"/>
    <mergeCell ref="D111:F111"/>
    <mergeCell ref="A77:B77"/>
    <mergeCell ref="A89:B89"/>
    <mergeCell ref="A98:B98"/>
    <mergeCell ref="A55:B55"/>
    <mergeCell ref="A66:B66"/>
    <mergeCell ref="A45:B45"/>
    <mergeCell ref="M4:R4"/>
    <mergeCell ref="D4:F4"/>
    <mergeCell ref="G4:G5"/>
    <mergeCell ref="H4:L4"/>
    <mergeCell ref="A5:B5"/>
    <mergeCell ref="A14:B14"/>
    <mergeCell ref="A24:B24"/>
    <mergeCell ref="A35:B35"/>
  </mergeCells>
  <pageMargins left="0.62992125984251968" right="0.23622047244094491" top="0.74803149606299213" bottom="0.74803149606299213" header="0.31496062992125984" footer="0.31496062992125984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S533"/>
  <sheetViews>
    <sheetView workbookViewId="0">
      <pane ySplit="5" topLeftCell="A81" activePane="bottomLeft" state="frozen"/>
      <selection pane="bottomLeft" activeCell="B112" sqref="B112"/>
    </sheetView>
  </sheetViews>
  <sheetFormatPr defaultColWidth="4.28515625" defaultRowHeight="10.5" customHeight="1"/>
  <cols>
    <col min="1" max="1" width="8.85546875" style="88" customWidth="1"/>
    <col min="2" max="2" width="49.5703125" style="1" customWidth="1"/>
    <col min="3" max="3" width="7" style="1" customWidth="1"/>
    <col min="4" max="4" width="6.5703125" style="1" customWidth="1"/>
    <col min="5" max="5" width="10.140625" style="1" customWidth="1"/>
    <col min="6" max="6" width="9" style="1" customWidth="1"/>
    <col min="7" max="7" width="7.28515625" style="1" customWidth="1"/>
    <col min="8" max="8" width="7.85546875" style="1" customWidth="1"/>
    <col min="9" max="9" width="5.42578125" style="1" customWidth="1"/>
    <col min="10" max="10" width="7.140625" style="1" customWidth="1"/>
    <col min="11" max="11" width="7.42578125" style="1" customWidth="1"/>
    <col min="12" max="12" width="6.42578125" style="1" customWidth="1"/>
    <col min="13" max="13" width="6.28515625" style="1" customWidth="1"/>
    <col min="14" max="14" width="6.140625" style="1" customWidth="1"/>
    <col min="15" max="15" width="6.42578125" style="1" customWidth="1"/>
    <col min="16" max="17" width="6" style="1" customWidth="1"/>
    <col min="18" max="18" width="5.85546875" style="1" customWidth="1"/>
    <col min="19" max="19" width="8.28515625" style="1" customWidth="1"/>
    <col min="20" max="20" width="6.85546875" style="1" customWidth="1"/>
    <col min="21" max="22" width="5.28515625" style="1" customWidth="1"/>
    <col min="23" max="23" width="6.5703125" style="1" customWidth="1"/>
    <col min="24" max="24" width="7.5703125" style="1" customWidth="1"/>
    <col min="25" max="25" width="6.42578125" style="1" customWidth="1"/>
    <col min="26" max="26" width="6.5703125" style="1" customWidth="1"/>
    <col min="27" max="27" width="7.28515625" style="1" customWidth="1"/>
    <col min="28" max="28" width="5" style="1" customWidth="1"/>
    <col min="29" max="30" width="6.42578125" style="1" customWidth="1"/>
    <col min="31" max="31" width="7.140625" style="1" customWidth="1"/>
    <col min="32" max="33" width="7.28515625" style="1" customWidth="1"/>
    <col min="34" max="37" width="4.28515625" style="9"/>
    <col min="38" max="38" width="22.7109375" style="9" customWidth="1"/>
    <col min="39" max="39" width="5.28515625" style="9" customWidth="1"/>
    <col min="40" max="16384" width="4.28515625" style="9"/>
  </cols>
  <sheetData>
    <row r="1" spans="1:97" s="136" customFormat="1" ht="10.5" customHeight="1">
      <c r="A1" s="134"/>
      <c r="B1" s="135" t="s">
        <v>108</v>
      </c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135"/>
      <c r="W1" s="135"/>
      <c r="X1" s="135"/>
      <c r="Y1" s="135"/>
      <c r="Z1" s="135"/>
      <c r="AA1" s="135"/>
      <c r="AB1" s="135"/>
      <c r="AC1" s="135"/>
      <c r="AD1" s="135"/>
      <c r="AE1" s="135"/>
      <c r="AF1" s="135"/>
      <c r="AG1" s="135"/>
    </row>
    <row r="2" spans="1:97" s="136" customFormat="1" ht="10.5" customHeight="1">
      <c r="A2" s="134"/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135"/>
      <c r="T2" s="135"/>
      <c r="U2" s="135"/>
      <c r="V2" s="135"/>
      <c r="W2" s="135"/>
      <c r="X2" s="135"/>
      <c r="Y2" s="135"/>
      <c r="Z2" s="135"/>
      <c r="AA2" s="135"/>
      <c r="AB2" s="135"/>
      <c r="AC2" s="135"/>
      <c r="AD2" s="135"/>
      <c r="AE2" s="135"/>
      <c r="AF2" s="135"/>
      <c r="AG2" s="135"/>
    </row>
    <row r="3" spans="1:97" s="15" customFormat="1" ht="10.5" customHeight="1">
      <c r="A3" s="132"/>
      <c r="B3" s="133" t="s">
        <v>138</v>
      </c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133"/>
      <c r="Q3" s="133"/>
      <c r="R3" s="133"/>
      <c r="S3" s="133"/>
      <c r="T3" s="133"/>
      <c r="U3" s="133"/>
      <c r="V3" s="133"/>
      <c r="W3" s="133"/>
      <c r="X3" s="133"/>
      <c r="Y3" s="133"/>
      <c r="Z3" s="133"/>
      <c r="AA3" s="133"/>
      <c r="AB3" s="133"/>
      <c r="AC3" s="133"/>
      <c r="AD3" s="133"/>
      <c r="AE3" s="133"/>
      <c r="AF3" s="133"/>
      <c r="AG3" s="133"/>
    </row>
    <row r="5" spans="1:97" s="140" customFormat="1" ht="38.25" customHeight="1">
      <c r="A5" s="137" t="s">
        <v>76</v>
      </c>
      <c r="B5" s="138" t="s">
        <v>140</v>
      </c>
      <c r="C5" s="141" t="s">
        <v>77</v>
      </c>
      <c r="D5" s="141" t="s">
        <v>12</v>
      </c>
      <c r="E5" s="141" t="s">
        <v>13</v>
      </c>
      <c r="F5" s="141" t="s">
        <v>15</v>
      </c>
      <c r="G5" s="141" t="s">
        <v>14</v>
      </c>
      <c r="H5" s="141" t="s">
        <v>141</v>
      </c>
      <c r="I5" s="141" t="s">
        <v>11</v>
      </c>
      <c r="J5" s="141" t="s">
        <v>64</v>
      </c>
      <c r="K5" s="141" t="s">
        <v>5</v>
      </c>
      <c r="L5" s="141" t="s">
        <v>139</v>
      </c>
      <c r="M5" s="141" t="s">
        <v>142</v>
      </c>
      <c r="N5" s="141" t="s">
        <v>7</v>
      </c>
      <c r="O5" s="141" t="s">
        <v>93</v>
      </c>
      <c r="P5" s="141" t="s">
        <v>8</v>
      </c>
      <c r="Q5" s="141" t="s">
        <v>9</v>
      </c>
      <c r="R5" s="141" t="s">
        <v>67</v>
      </c>
      <c r="S5" s="141" t="s">
        <v>143</v>
      </c>
      <c r="T5" s="141" t="s">
        <v>68</v>
      </c>
      <c r="U5" s="141" t="s">
        <v>40</v>
      </c>
      <c r="V5" s="141" t="s">
        <v>37</v>
      </c>
      <c r="W5" s="141" t="s">
        <v>20</v>
      </c>
      <c r="X5" s="141" t="s">
        <v>144</v>
      </c>
      <c r="Y5" s="141" t="s">
        <v>10</v>
      </c>
      <c r="Z5" s="141" t="s">
        <v>18</v>
      </c>
      <c r="AA5" s="141" t="s">
        <v>145</v>
      </c>
      <c r="AB5" s="141" t="s">
        <v>16</v>
      </c>
      <c r="AC5" s="141" t="s">
        <v>17</v>
      </c>
      <c r="AD5" s="141" t="s">
        <v>57</v>
      </c>
      <c r="AE5" s="141" t="s">
        <v>19</v>
      </c>
      <c r="AF5" s="141" t="s">
        <v>146</v>
      </c>
      <c r="AG5" s="138" t="s">
        <v>59</v>
      </c>
      <c r="AH5" s="139"/>
      <c r="AI5" s="139"/>
      <c r="AJ5" s="139"/>
      <c r="AK5" s="139"/>
      <c r="AL5" s="139"/>
      <c r="AM5" s="139"/>
      <c r="AN5" s="139"/>
      <c r="AO5" s="139"/>
      <c r="AP5" s="139"/>
      <c r="AQ5" s="139"/>
      <c r="AR5" s="139"/>
      <c r="AS5" s="139"/>
      <c r="AT5" s="139"/>
      <c r="AU5" s="139"/>
      <c r="AV5" s="139"/>
      <c r="AW5" s="139"/>
      <c r="AX5" s="139"/>
      <c r="AY5" s="139"/>
      <c r="AZ5" s="139"/>
      <c r="BA5" s="139"/>
      <c r="BB5" s="139"/>
      <c r="BC5" s="139"/>
      <c r="BD5" s="139"/>
      <c r="BE5" s="139"/>
      <c r="BF5" s="139"/>
      <c r="BG5" s="139"/>
      <c r="BH5" s="139"/>
      <c r="BI5" s="139"/>
      <c r="BJ5" s="139"/>
      <c r="BK5" s="139"/>
      <c r="BL5" s="139"/>
      <c r="BM5" s="139"/>
      <c r="BN5" s="139"/>
      <c r="BO5" s="139"/>
      <c r="BP5" s="139"/>
      <c r="BQ5" s="139"/>
      <c r="BR5" s="139"/>
      <c r="BS5" s="139"/>
      <c r="BT5" s="139"/>
      <c r="BU5" s="139"/>
      <c r="BV5" s="139"/>
      <c r="BW5" s="139"/>
      <c r="BX5" s="139"/>
      <c r="BY5" s="139"/>
      <c r="BZ5" s="139"/>
      <c r="CA5" s="139"/>
      <c r="CB5" s="139"/>
      <c r="CC5" s="139"/>
      <c r="CD5" s="139"/>
      <c r="CE5" s="139"/>
      <c r="CF5" s="139"/>
      <c r="CG5" s="139"/>
      <c r="CH5" s="139"/>
      <c r="CI5" s="139"/>
      <c r="CJ5" s="139"/>
      <c r="CK5" s="139"/>
      <c r="CL5" s="139"/>
      <c r="CM5" s="139"/>
      <c r="CN5" s="139"/>
      <c r="CO5" s="139"/>
      <c r="CP5" s="139"/>
      <c r="CQ5" s="139"/>
      <c r="CR5" s="139"/>
      <c r="CS5" s="139"/>
    </row>
    <row r="6" spans="1:97" s="5" customFormat="1" ht="12" customHeight="1">
      <c r="A6" s="73"/>
      <c r="B6" s="6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</row>
    <row r="7" spans="1:97" s="10" customFormat="1" ht="10.5" customHeight="1">
      <c r="A7" s="189" t="s">
        <v>109</v>
      </c>
      <c r="B7" s="190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  <c r="CD7" s="9"/>
      <c r="CE7" s="9"/>
      <c r="CF7" s="9"/>
      <c r="CG7" s="9"/>
      <c r="CH7" s="9"/>
      <c r="CI7" s="9"/>
      <c r="CJ7" s="9"/>
      <c r="CK7" s="9"/>
    </row>
    <row r="8" spans="1:97" s="11" customFormat="1" ht="10.5" customHeight="1">
      <c r="A8" s="110">
        <v>3</v>
      </c>
      <c r="B8" s="111" t="s">
        <v>122</v>
      </c>
      <c r="C8" s="2">
        <v>40</v>
      </c>
      <c r="D8" s="2"/>
      <c r="E8" s="2">
        <v>20</v>
      </c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>
        <v>15</v>
      </c>
      <c r="V8" s="2"/>
      <c r="W8" s="2">
        <v>5</v>
      </c>
      <c r="X8" s="2"/>
      <c r="Y8" s="2"/>
      <c r="Z8" s="2"/>
      <c r="AA8" s="2"/>
      <c r="AB8" s="2"/>
      <c r="AC8" s="2"/>
      <c r="AD8" s="2"/>
      <c r="AE8" s="2"/>
      <c r="AF8" s="2"/>
      <c r="AG8" s="2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</row>
    <row r="9" spans="1:97" ht="10.5" customHeight="1">
      <c r="A9" s="112"/>
      <c r="B9" s="113" t="s">
        <v>121</v>
      </c>
      <c r="C9" s="12">
        <v>230</v>
      </c>
      <c r="G9" s="1">
        <f>15.4*2.3</f>
        <v>35.419999999999995</v>
      </c>
      <c r="R9" s="1">
        <f>88*2.3</f>
        <v>202.39999999999998</v>
      </c>
      <c r="W9" s="1">
        <v>5</v>
      </c>
    </row>
    <row r="10" spans="1:97" s="11" customFormat="1" ht="10.5" customHeight="1">
      <c r="A10" s="110">
        <v>382</v>
      </c>
      <c r="B10" s="111" t="s">
        <v>6</v>
      </c>
      <c r="C10" s="2">
        <v>200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>
        <v>100</v>
      </c>
      <c r="S10" s="2"/>
      <c r="T10" s="2"/>
      <c r="U10" s="2"/>
      <c r="V10" s="2"/>
      <c r="W10" s="2"/>
      <c r="X10" s="2"/>
      <c r="Y10" s="2"/>
      <c r="Z10" s="2">
        <v>10</v>
      </c>
      <c r="AA10" s="2"/>
      <c r="AB10" s="2"/>
      <c r="AC10" s="2">
        <v>1.5</v>
      </c>
      <c r="AD10" s="2"/>
      <c r="AE10" s="2"/>
      <c r="AF10" s="2"/>
      <c r="AG10" s="2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9"/>
      <c r="CS10" s="9"/>
    </row>
    <row r="11" spans="1:97" s="11" customFormat="1" ht="10.5" customHeight="1">
      <c r="A11" s="110"/>
      <c r="B11" s="111" t="s">
        <v>4</v>
      </c>
      <c r="C11" s="2">
        <v>20</v>
      </c>
      <c r="D11" s="2"/>
      <c r="E11" s="2">
        <v>20</v>
      </c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9"/>
      <c r="CO11" s="9"/>
      <c r="CP11" s="9"/>
      <c r="CQ11" s="9"/>
      <c r="CR11" s="9"/>
      <c r="CS11" s="9"/>
    </row>
    <row r="12" spans="1:97" s="11" customFormat="1" ht="10.5" customHeight="1">
      <c r="A12" s="110">
        <v>368</v>
      </c>
      <c r="B12" s="111" t="s">
        <v>119</v>
      </c>
      <c r="C12" s="2">
        <v>120</v>
      </c>
      <c r="D12" s="2"/>
      <c r="E12" s="2"/>
      <c r="F12" s="2"/>
      <c r="G12" s="2"/>
      <c r="H12" s="2"/>
      <c r="I12" s="2"/>
      <c r="J12" s="2"/>
      <c r="K12" s="2">
        <v>120</v>
      </c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9"/>
      <c r="CL12" s="9"/>
      <c r="CM12" s="9"/>
      <c r="CN12" s="9"/>
      <c r="CO12" s="9"/>
      <c r="CP12" s="9"/>
      <c r="CQ12" s="9"/>
      <c r="CR12" s="9"/>
      <c r="CS12" s="9"/>
    </row>
    <row r="13" spans="1:97" ht="10.5" customHeight="1">
      <c r="A13" s="76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</row>
    <row r="14" spans="1:97" s="16" customFormat="1" ht="10.5" customHeight="1">
      <c r="A14" s="77"/>
      <c r="B14" s="13" t="s">
        <v>157</v>
      </c>
      <c r="C14" s="14">
        <f t="shared" ref="C14:AG14" si="0">SUM(C8:C13)</f>
        <v>610</v>
      </c>
      <c r="D14" s="14">
        <f t="shared" si="0"/>
        <v>0</v>
      </c>
      <c r="E14" s="14">
        <f t="shared" si="0"/>
        <v>40</v>
      </c>
      <c r="F14" s="14">
        <f t="shared" si="0"/>
        <v>0</v>
      </c>
      <c r="G14" s="14">
        <f t="shared" si="0"/>
        <v>35.419999999999995</v>
      </c>
      <c r="H14" s="14">
        <f t="shared" si="0"/>
        <v>0</v>
      </c>
      <c r="I14" s="14">
        <f t="shared" si="0"/>
        <v>0</v>
      </c>
      <c r="J14" s="14">
        <f t="shared" si="0"/>
        <v>0</v>
      </c>
      <c r="K14" s="14">
        <f t="shared" si="0"/>
        <v>120</v>
      </c>
      <c r="L14" s="14">
        <f t="shared" si="0"/>
        <v>0</v>
      </c>
      <c r="M14" s="14">
        <f t="shared" si="0"/>
        <v>0</v>
      </c>
      <c r="N14" s="14">
        <f t="shared" si="0"/>
        <v>0</v>
      </c>
      <c r="O14" s="14">
        <f t="shared" si="0"/>
        <v>0</v>
      </c>
      <c r="P14" s="14">
        <f t="shared" si="0"/>
        <v>0</v>
      </c>
      <c r="Q14" s="14">
        <f t="shared" si="0"/>
        <v>0</v>
      </c>
      <c r="R14" s="14">
        <f t="shared" si="0"/>
        <v>302.39999999999998</v>
      </c>
      <c r="S14" s="14">
        <f t="shared" si="0"/>
        <v>0</v>
      </c>
      <c r="T14" s="14">
        <f t="shared" si="0"/>
        <v>0</v>
      </c>
      <c r="U14" s="14">
        <f t="shared" si="0"/>
        <v>15</v>
      </c>
      <c r="V14" s="14">
        <f t="shared" si="0"/>
        <v>0</v>
      </c>
      <c r="W14" s="14">
        <f t="shared" si="0"/>
        <v>10</v>
      </c>
      <c r="X14" s="14">
        <f t="shared" si="0"/>
        <v>0</v>
      </c>
      <c r="Y14" s="14">
        <f t="shared" si="0"/>
        <v>0</v>
      </c>
      <c r="Z14" s="14">
        <f t="shared" si="0"/>
        <v>10</v>
      </c>
      <c r="AA14" s="14">
        <f t="shared" si="0"/>
        <v>0</v>
      </c>
      <c r="AB14" s="14">
        <f t="shared" si="0"/>
        <v>0</v>
      </c>
      <c r="AC14" s="14">
        <f t="shared" si="0"/>
        <v>1.5</v>
      </c>
      <c r="AD14" s="14">
        <f t="shared" si="0"/>
        <v>0</v>
      </c>
      <c r="AE14" s="14">
        <f t="shared" si="0"/>
        <v>0</v>
      </c>
      <c r="AF14" s="14">
        <f t="shared" si="0"/>
        <v>0</v>
      </c>
      <c r="AG14" s="14">
        <f t="shared" si="0"/>
        <v>0</v>
      </c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5"/>
      <c r="BK14" s="15"/>
      <c r="BL14" s="15"/>
      <c r="BM14" s="15"/>
      <c r="BN14" s="15"/>
      <c r="BO14" s="15"/>
      <c r="BP14" s="15"/>
      <c r="BQ14" s="15"/>
      <c r="BR14" s="15"/>
      <c r="BS14" s="15"/>
      <c r="BT14" s="15"/>
      <c r="BU14" s="15"/>
      <c r="BV14" s="15"/>
      <c r="BW14" s="15"/>
      <c r="BX14" s="15"/>
      <c r="BY14" s="15"/>
      <c r="BZ14" s="15"/>
      <c r="CA14" s="15"/>
      <c r="CB14" s="15"/>
      <c r="CC14" s="15"/>
      <c r="CD14" s="15"/>
      <c r="CE14" s="15"/>
      <c r="CF14" s="15"/>
      <c r="CG14" s="15"/>
      <c r="CH14" s="15"/>
      <c r="CI14" s="15"/>
      <c r="CJ14" s="15"/>
      <c r="CK14" s="15"/>
      <c r="CL14" s="15"/>
      <c r="CM14" s="15"/>
      <c r="CN14" s="15"/>
      <c r="CO14" s="15"/>
      <c r="CP14" s="15"/>
      <c r="CQ14" s="15"/>
      <c r="CR14" s="15"/>
      <c r="CS14" s="15"/>
    </row>
    <row r="15" spans="1:97" s="15" customFormat="1" ht="10.5" customHeight="1">
      <c r="A15" s="78"/>
      <c r="B15" s="17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</row>
    <row r="16" spans="1:97" s="10" customFormat="1" ht="10.5" customHeight="1">
      <c r="A16" s="188" t="s">
        <v>110</v>
      </c>
      <c r="B16" s="188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  <c r="BY16" s="9"/>
      <c r="BZ16" s="9"/>
      <c r="CA16" s="9"/>
      <c r="CB16" s="9"/>
      <c r="CC16" s="9"/>
      <c r="CD16" s="9"/>
      <c r="CE16" s="9"/>
      <c r="CF16" s="9"/>
      <c r="CG16" s="9"/>
      <c r="CH16" s="9"/>
      <c r="CI16" s="9"/>
      <c r="CJ16" s="9"/>
      <c r="CK16" s="9"/>
      <c r="CL16" s="9"/>
      <c r="CM16" s="9"/>
      <c r="CN16" s="9"/>
      <c r="CO16" s="9"/>
      <c r="CP16" s="9"/>
      <c r="CQ16" s="9"/>
      <c r="CR16" s="9"/>
      <c r="CS16" s="9"/>
    </row>
    <row r="17" spans="1:97" s="11" customFormat="1" ht="10.5" customHeight="1">
      <c r="A17" s="114"/>
      <c r="B17" s="115" t="s">
        <v>120</v>
      </c>
      <c r="C17" s="20">
        <v>60</v>
      </c>
      <c r="D17" s="20"/>
      <c r="E17" s="20"/>
      <c r="F17" s="20"/>
      <c r="G17" s="20"/>
      <c r="H17" s="20"/>
      <c r="I17" s="20"/>
      <c r="J17" s="20">
        <v>60</v>
      </c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9"/>
      <c r="CD17" s="9"/>
      <c r="CE17" s="9"/>
      <c r="CF17" s="9"/>
      <c r="CG17" s="9"/>
      <c r="CH17" s="9"/>
      <c r="CI17" s="9"/>
      <c r="CJ17" s="9"/>
      <c r="CK17" s="9"/>
      <c r="CL17" s="9"/>
      <c r="CM17" s="9"/>
      <c r="CN17" s="9"/>
      <c r="CO17" s="9"/>
      <c r="CP17" s="9"/>
      <c r="CQ17" s="9"/>
      <c r="CR17" s="9"/>
      <c r="CS17" s="9"/>
    </row>
    <row r="18" spans="1:97" s="3" customFormat="1" ht="10.5" customHeight="1">
      <c r="A18" s="110">
        <v>259</v>
      </c>
      <c r="B18" s="111" t="s">
        <v>22</v>
      </c>
      <c r="C18" s="2">
        <v>175</v>
      </c>
      <c r="D18" s="2"/>
      <c r="E18" s="2"/>
      <c r="F18" s="2"/>
      <c r="G18" s="2"/>
      <c r="H18" s="2"/>
      <c r="I18" s="2">
        <v>100</v>
      </c>
      <c r="J18" s="2">
        <f>(10+6)</f>
        <v>16</v>
      </c>
      <c r="K18" s="2"/>
      <c r="L18" s="2"/>
      <c r="M18" s="2"/>
      <c r="N18" s="2">
        <v>79</v>
      </c>
      <c r="O18" s="2"/>
      <c r="P18" s="2"/>
      <c r="Q18" s="2"/>
      <c r="R18" s="2"/>
      <c r="S18" s="2"/>
      <c r="T18" s="2"/>
      <c r="U18" s="2"/>
      <c r="V18" s="2"/>
      <c r="W18" s="2"/>
      <c r="X18" s="2">
        <v>6</v>
      </c>
      <c r="Y18" s="2"/>
      <c r="Z18" s="2"/>
      <c r="AA18" s="2"/>
      <c r="AB18" s="2"/>
      <c r="AC18" s="2"/>
      <c r="AD18" s="2"/>
      <c r="AE18" s="2"/>
      <c r="AF18" s="2"/>
      <c r="AG18" s="2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</row>
    <row r="19" spans="1:97" s="11" customFormat="1" ht="10.5" customHeight="1">
      <c r="A19" s="110" t="s">
        <v>39</v>
      </c>
      <c r="B19" s="111" t="s">
        <v>92</v>
      </c>
      <c r="C19" s="2">
        <v>200</v>
      </c>
      <c r="D19" s="2"/>
      <c r="E19" s="2"/>
      <c r="F19" s="2"/>
      <c r="G19" s="2"/>
      <c r="H19" s="2"/>
      <c r="I19" s="2"/>
      <c r="J19" s="2"/>
      <c r="K19" s="2">
        <v>40</v>
      </c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>
        <v>5</v>
      </c>
      <c r="AA19" s="2"/>
      <c r="AB19" s="2">
        <v>0.1</v>
      </c>
      <c r="AC19" s="2"/>
      <c r="AD19" s="2"/>
      <c r="AE19" s="2"/>
      <c r="AF19" s="2"/>
      <c r="AG19" s="2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9"/>
      <c r="CA19" s="9"/>
      <c r="CB19" s="9"/>
      <c r="CC19" s="9"/>
      <c r="CD19" s="9"/>
      <c r="CE19" s="9"/>
      <c r="CF19" s="9"/>
      <c r="CG19" s="9"/>
      <c r="CH19" s="9"/>
      <c r="CI19" s="9"/>
      <c r="CJ19" s="9"/>
      <c r="CK19" s="9"/>
      <c r="CL19" s="9"/>
      <c r="CM19" s="9"/>
      <c r="CN19" s="9"/>
      <c r="CO19" s="9"/>
      <c r="CP19" s="9"/>
      <c r="CQ19" s="9"/>
      <c r="CR19" s="9"/>
      <c r="CS19" s="9"/>
    </row>
    <row r="20" spans="1:97" s="11" customFormat="1" ht="10.5" customHeight="1">
      <c r="A20" s="110"/>
      <c r="B20" s="111" t="s">
        <v>4</v>
      </c>
      <c r="C20" s="2">
        <v>25</v>
      </c>
      <c r="D20" s="2"/>
      <c r="E20" s="2">
        <v>25</v>
      </c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9"/>
      <c r="BV20" s="9"/>
      <c r="BW20" s="9"/>
      <c r="BX20" s="9"/>
      <c r="BY20" s="9"/>
      <c r="BZ20" s="9"/>
      <c r="CA20" s="9"/>
      <c r="CB20" s="9"/>
      <c r="CC20" s="9"/>
      <c r="CD20" s="9"/>
      <c r="CE20" s="9"/>
      <c r="CF20" s="9"/>
      <c r="CG20" s="9"/>
      <c r="CH20" s="9"/>
      <c r="CI20" s="9"/>
      <c r="CJ20" s="9"/>
      <c r="CK20" s="9"/>
      <c r="CL20" s="9"/>
      <c r="CM20" s="9"/>
      <c r="CN20" s="9"/>
      <c r="CO20" s="9"/>
      <c r="CP20" s="9"/>
      <c r="CQ20" s="9"/>
      <c r="CR20" s="9"/>
      <c r="CS20" s="9"/>
    </row>
    <row r="21" spans="1:97" s="11" customFormat="1" ht="10.5" customHeight="1">
      <c r="A21" s="110"/>
      <c r="B21" s="111" t="s">
        <v>3</v>
      </c>
      <c r="C21" s="2">
        <v>25</v>
      </c>
      <c r="D21" s="2">
        <v>25</v>
      </c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  <c r="CC21" s="9"/>
      <c r="CD21" s="9"/>
      <c r="CE21" s="9"/>
      <c r="CF21" s="9"/>
      <c r="CG21" s="9"/>
      <c r="CH21" s="9"/>
      <c r="CI21" s="9"/>
      <c r="CJ21" s="9"/>
      <c r="CK21" s="9"/>
      <c r="CL21" s="9"/>
      <c r="CM21" s="9"/>
      <c r="CN21" s="9"/>
      <c r="CO21" s="9"/>
      <c r="CP21" s="9"/>
      <c r="CQ21" s="9"/>
      <c r="CR21" s="9"/>
      <c r="CS21" s="9"/>
    </row>
    <row r="22" spans="1:97" ht="10.5" customHeight="1">
      <c r="A22" s="116"/>
      <c r="B22" s="111" t="s">
        <v>123</v>
      </c>
      <c r="C22" s="2">
        <v>200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>
        <v>200</v>
      </c>
    </row>
    <row r="23" spans="1:97" ht="10.5" customHeight="1">
      <c r="A23" s="76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</row>
    <row r="24" spans="1:97" s="16" customFormat="1" ht="10.5" customHeight="1">
      <c r="A24" s="77"/>
      <c r="B24" s="13" t="s">
        <v>157</v>
      </c>
      <c r="C24" s="14">
        <f t="shared" ref="C24:AG24" si="1">SUM(C17:C22)</f>
        <v>685</v>
      </c>
      <c r="D24" s="14">
        <f t="shared" si="1"/>
        <v>25</v>
      </c>
      <c r="E24" s="14">
        <f t="shared" si="1"/>
        <v>25</v>
      </c>
      <c r="F24" s="14">
        <f t="shared" si="1"/>
        <v>0</v>
      </c>
      <c r="G24" s="14">
        <f t="shared" si="1"/>
        <v>0</v>
      </c>
      <c r="H24" s="14">
        <f t="shared" si="1"/>
        <v>0</v>
      </c>
      <c r="I24" s="14">
        <f t="shared" si="1"/>
        <v>100</v>
      </c>
      <c r="J24" s="14">
        <f t="shared" si="1"/>
        <v>76</v>
      </c>
      <c r="K24" s="14">
        <f t="shared" si="1"/>
        <v>40</v>
      </c>
      <c r="L24" s="14">
        <f t="shared" si="1"/>
        <v>0</v>
      </c>
      <c r="M24" s="14">
        <f t="shared" si="1"/>
        <v>0</v>
      </c>
      <c r="N24" s="14">
        <f t="shared" si="1"/>
        <v>79</v>
      </c>
      <c r="O24" s="14">
        <f t="shared" si="1"/>
        <v>0</v>
      </c>
      <c r="P24" s="14">
        <f t="shared" si="1"/>
        <v>0</v>
      </c>
      <c r="Q24" s="14">
        <f t="shared" si="1"/>
        <v>0</v>
      </c>
      <c r="R24" s="14">
        <f t="shared" si="1"/>
        <v>0</v>
      </c>
      <c r="S24" s="14">
        <f t="shared" si="1"/>
        <v>200</v>
      </c>
      <c r="T24" s="14">
        <f t="shared" si="1"/>
        <v>0</v>
      </c>
      <c r="U24" s="14">
        <f t="shared" si="1"/>
        <v>0</v>
      </c>
      <c r="V24" s="14">
        <f t="shared" si="1"/>
        <v>0</v>
      </c>
      <c r="W24" s="14">
        <f t="shared" si="1"/>
        <v>0</v>
      </c>
      <c r="X24" s="14">
        <f t="shared" si="1"/>
        <v>6</v>
      </c>
      <c r="Y24" s="14">
        <f t="shared" si="1"/>
        <v>0</v>
      </c>
      <c r="Z24" s="14">
        <f t="shared" si="1"/>
        <v>5</v>
      </c>
      <c r="AA24" s="14">
        <f t="shared" si="1"/>
        <v>0</v>
      </c>
      <c r="AB24" s="14">
        <f t="shared" si="1"/>
        <v>0.1</v>
      </c>
      <c r="AC24" s="14">
        <f t="shared" si="1"/>
        <v>0</v>
      </c>
      <c r="AD24" s="14">
        <f t="shared" si="1"/>
        <v>0</v>
      </c>
      <c r="AE24" s="14">
        <f t="shared" si="1"/>
        <v>0</v>
      </c>
      <c r="AF24" s="14">
        <f t="shared" si="1"/>
        <v>0</v>
      </c>
      <c r="AG24" s="14">
        <f t="shared" si="1"/>
        <v>0</v>
      </c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15"/>
      <c r="BM24" s="15"/>
      <c r="BN24" s="15"/>
      <c r="BO24" s="15"/>
      <c r="BP24" s="15"/>
      <c r="BQ24" s="15"/>
      <c r="BR24" s="15"/>
      <c r="BS24" s="15"/>
      <c r="BT24" s="15"/>
      <c r="BU24" s="15"/>
      <c r="BV24" s="15"/>
      <c r="BW24" s="15"/>
      <c r="BX24" s="15"/>
      <c r="BY24" s="15"/>
      <c r="BZ24" s="15"/>
      <c r="CA24" s="15"/>
      <c r="CB24" s="15"/>
      <c r="CC24" s="15"/>
      <c r="CD24" s="15"/>
      <c r="CE24" s="15"/>
      <c r="CF24" s="15"/>
      <c r="CG24" s="15"/>
      <c r="CH24" s="15"/>
      <c r="CI24" s="15"/>
      <c r="CJ24" s="15"/>
      <c r="CK24" s="15"/>
    </row>
    <row r="25" spans="1:97" s="15" customFormat="1" ht="10.5" customHeight="1">
      <c r="A25" s="79"/>
      <c r="B25" s="22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</row>
    <row r="26" spans="1:97" s="10" customFormat="1" ht="10.5" customHeight="1">
      <c r="A26" s="189" t="s">
        <v>111</v>
      </c>
      <c r="B26" s="190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9"/>
      <c r="BX26" s="9"/>
      <c r="BY26" s="9"/>
      <c r="BZ26" s="9"/>
      <c r="CA26" s="9"/>
      <c r="CB26" s="9"/>
      <c r="CC26" s="9"/>
      <c r="CD26" s="9"/>
      <c r="CE26" s="9"/>
      <c r="CF26" s="9"/>
      <c r="CG26" s="9"/>
      <c r="CH26" s="9"/>
      <c r="CI26" s="9"/>
      <c r="CJ26" s="9"/>
      <c r="CK26" s="9"/>
      <c r="CL26" s="9"/>
      <c r="CM26" s="9"/>
      <c r="CN26" s="9"/>
      <c r="CO26" s="9"/>
      <c r="CP26" s="9"/>
      <c r="CQ26" s="9"/>
      <c r="CR26" s="9"/>
      <c r="CS26" s="9"/>
    </row>
    <row r="27" spans="1:97" s="11" customFormat="1" ht="10.5" customHeight="1">
      <c r="A27" s="110"/>
      <c r="B27" s="111" t="s">
        <v>124</v>
      </c>
      <c r="C27" s="2">
        <v>80</v>
      </c>
      <c r="D27" s="2"/>
      <c r="E27" s="2"/>
      <c r="F27" s="2"/>
      <c r="G27" s="2"/>
      <c r="H27" s="2"/>
      <c r="I27" s="2"/>
      <c r="J27" s="2">
        <v>77</v>
      </c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>
        <v>4.8</v>
      </c>
      <c r="Y27" s="2"/>
      <c r="Z27" s="2"/>
      <c r="AA27" s="2"/>
      <c r="AB27" s="2"/>
      <c r="AC27" s="2"/>
      <c r="AD27" s="2"/>
      <c r="AE27" s="2"/>
      <c r="AF27" s="2"/>
      <c r="AG27" s="2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  <c r="BY27" s="9"/>
      <c r="BZ27" s="9"/>
      <c r="CA27" s="9"/>
      <c r="CB27" s="9"/>
      <c r="CC27" s="9"/>
      <c r="CD27" s="9"/>
      <c r="CE27" s="9"/>
      <c r="CF27" s="9"/>
      <c r="CG27" s="9"/>
      <c r="CH27" s="9"/>
      <c r="CI27" s="9"/>
      <c r="CJ27" s="9"/>
      <c r="CK27" s="9"/>
      <c r="CL27" s="9"/>
      <c r="CM27" s="9"/>
      <c r="CN27" s="9"/>
      <c r="CO27" s="9"/>
      <c r="CP27" s="9"/>
      <c r="CQ27" s="9"/>
      <c r="CR27" s="9"/>
      <c r="CS27" s="9"/>
    </row>
    <row r="28" spans="1:97" s="11" customFormat="1" ht="10.5" customHeight="1">
      <c r="A28" s="110">
        <v>296</v>
      </c>
      <c r="B28" s="111" t="s">
        <v>86</v>
      </c>
      <c r="C28" s="2">
        <v>75</v>
      </c>
      <c r="D28" s="2"/>
      <c r="E28" s="2">
        <v>9</v>
      </c>
      <c r="F28" s="2">
        <v>2.25</v>
      </c>
      <c r="G28" s="2"/>
      <c r="H28" s="2"/>
      <c r="I28" s="2"/>
      <c r="J28" s="2"/>
      <c r="K28" s="2"/>
      <c r="L28" s="2"/>
      <c r="M28" s="2"/>
      <c r="N28" s="2"/>
      <c r="O28" s="2"/>
      <c r="P28" s="2">
        <v>41</v>
      </c>
      <c r="Q28" s="2"/>
      <c r="R28" s="2">
        <v>13</v>
      </c>
      <c r="S28" s="2"/>
      <c r="T28" s="2"/>
      <c r="U28" s="2">
        <v>5</v>
      </c>
      <c r="V28" s="2">
        <v>7.5</v>
      </c>
      <c r="W28" s="2">
        <v>5</v>
      </c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9"/>
      <c r="CB28" s="9"/>
      <c r="CC28" s="9"/>
      <c r="CD28" s="9"/>
      <c r="CE28" s="9"/>
      <c r="CF28" s="9"/>
      <c r="CG28" s="9"/>
      <c r="CH28" s="9"/>
      <c r="CI28" s="9"/>
      <c r="CJ28" s="9"/>
      <c r="CK28" s="9"/>
      <c r="CL28" s="9"/>
      <c r="CM28" s="9"/>
      <c r="CN28" s="9"/>
      <c r="CO28" s="9"/>
      <c r="CP28" s="9"/>
      <c r="CQ28" s="9"/>
      <c r="CR28" s="9"/>
      <c r="CS28" s="9"/>
    </row>
    <row r="29" spans="1:97" s="11" customFormat="1" ht="10.5" customHeight="1">
      <c r="A29" s="117">
        <v>302</v>
      </c>
      <c r="B29" s="111" t="s">
        <v>125</v>
      </c>
      <c r="C29" s="2">
        <v>130</v>
      </c>
      <c r="D29" s="2"/>
      <c r="E29" s="2"/>
      <c r="F29" s="2"/>
      <c r="G29" s="2">
        <f>22*1.3</f>
        <v>28.6</v>
      </c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>
        <v>5</v>
      </c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9"/>
      <c r="BX29" s="9"/>
      <c r="BY29" s="9"/>
      <c r="BZ29" s="9"/>
      <c r="CA29" s="9"/>
      <c r="CB29" s="9"/>
      <c r="CC29" s="9"/>
      <c r="CD29" s="9"/>
      <c r="CE29" s="9"/>
      <c r="CF29" s="9"/>
      <c r="CG29" s="9"/>
      <c r="CH29" s="9"/>
      <c r="CI29" s="9"/>
      <c r="CJ29" s="9"/>
      <c r="CK29" s="9"/>
      <c r="CL29" s="9"/>
      <c r="CM29" s="9"/>
      <c r="CN29" s="9"/>
      <c r="CO29" s="9"/>
      <c r="CP29" s="9"/>
      <c r="CQ29" s="9"/>
      <c r="CR29" s="9"/>
      <c r="CS29" s="9"/>
    </row>
    <row r="30" spans="1:97" s="11" customFormat="1" ht="10.5" customHeight="1">
      <c r="A30" s="110" t="s">
        <v>95</v>
      </c>
      <c r="B30" s="111" t="s">
        <v>66</v>
      </c>
      <c r="C30" s="2">
        <v>200</v>
      </c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>
        <v>100</v>
      </c>
      <c r="S30" s="2"/>
      <c r="T30" s="2"/>
      <c r="U30" s="2"/>
      <c r="V30" s="2"/>
      <c r="W30" s="2"/>
      <c r="X30" s="2"/>
      <c r="Y30" s="2"/>
      <c r="Z30" s="2">
        <v>10</v>
      </c>
      <c r="AA30" s="2"/>
      <c r="AB30" s="2"/>
      <c r="AC30" s="2"/>
      <c r="AD30" s="2">
        <v>2.5</v>
      </c>
      <c r="AE30" s="2"/>
      <c r="AF30" s="2"/>
      <c r="AG30" s="2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9"/>
      <c r="CA30" s="9"/>
      <c r="CB30" s="9"/>
      <c r="CC30" s="9"/>
      <c r="CD30" s="9"/>
      <c r="CE30" s="9"/>
      <c r="CF30" s="9"/>
      <c r="CG30" s="9"/>
      <c r="CH30" s="9"/>
      <c r="CI30" s="9"/>
      <c r="CJ30" s="9"/>
      <c r="CK30" s="9"/>
      <c r="CL30" s="9"/>
      <c r="CM30" s="9"/>
      <c r="CN30" s="9"/>
      <c r="CO30" s="9"/>
      <c r="CP30" s="9"/>
      <c r="CQ30" s="9"/>
      <c r="CR30" s="9"/>
      <c r="CS30" s="9"/>
    </row>
    <row r="31" spans="1:97" s="11" customFormat="1" ht="10.5" customHeight="1">
      <c r="A31" s="110"/>
      <c r="B31" s="111" t="s">
        <v>4</v>
      </c>
      <c r="C31" s="2">
        <v>25</v>
      </c>
      <c r="D31" s="2"/>
      <c r="E31" s="2">
        <v>25</v>
      </c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9"/>
      <c r="BW31" s="9"/>
      <c r="BX31" s="9"/>
      <c r="BY31" s="9"/>
      <c r="BZ31" s="9"/>
      <c r="CA31" s="9"/>
      <c r="CB31" s="9"/>
      <c r="CC31" s="9"/>
      <c r="CD31" s="9"/>
      <c r="CE31" s="9"/>
      <c r="CF31" s="9"/>
      <c r="CG31" s="9"/>
      <c r="CH31" s="9"/>
      <c r="CI31" s="9"/>
      <c r="CJ31" s="9"/>
      <c r="CK31" s="9"/>
      <c r="CL31" s="9"/>
      <c r="CM31" s="9"/>
      <c r="CN31" s="9"/>
      <c r="CO31" s="9"/>
      <c r="CP31" s="9"/>
      <c r="CQ31" s="9"/>
      <c r="CR31" s="9"/>
      <c r="CS31" s="9"/>
    </row>
    <row r="32" spans="1:97" s="11" customFormat="1" ht="10.5" customHeight="1">
      <c r="A32" s="110"/>
      <c r="B32" s="111" t="s">
        <v>128</v>
      </c>
      <c r="C32" s="2">
        <v>25</v>
      </c>
      <c r="D32" s="2">
        <v>25</v>
      </c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9"/>
      <c r="BW32" s="9"/>
      <c r="BX32" s="9"/>
      <c r="BY32" s="9"/>
      <c r="BZ32" s="9"/>
      <c r="CA32" s="9"/>
      <c r="CB32" s="9"/>
      <c r="CC32" s="9"/>
      <c r="CD32" s="9"/>
      <c r="CE32" s="9"/>
      <c r="CF32" s="9"/>
      <c r="CG32" s="9"/>
      <c r="CH32" s="9"/>
      <c r="CI32" s="9"/>
      <c r="CJ32" s="9"/>
      <c r="CK32" s="9"/>
      <c r="CL32" s="9"/>
      <c r="CM32" s="9"/>
      <c r="CN32" s="9"/>
      <c r="CO32" s="9"/>
      <c r="CP32" s="9"/>
      <c r="CQ32" s="9"/>
      <c r="CR32" s="9"/>
      <c r="CS32" s="9"/>
    </row>
    <row r="33" spans="1:97" s="11" customFormat="1" ht="10.5" customHeight="1">
      <c r="A33" s="110"/>
      <c r="B33" s="111" t="s">
        <v>126</v>
      </c>
      <c r="C33" s="2">
        <v>150</v>
      </c>
      <c r="D33" s="2"/>
      <c r="E33" s="2"/>
      <c r="F33" s="2"/>
      <c r="G33" s="2"/>
      <c r="H33" s="2"/>
      <c r="I33" s="2"/>
      <c r="J33" s="2"/>
      <c r="K33" s="2"/>
      <c r="L33" s="2"/>
      <c r="M33" s="2">
        <v>150</v>
      </c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  <c r="BU33" s="9"/>
      <c r="BV33" s="9"/>
      <c r="BW33" s="9"/>
      <c r="BX33" s="9"/>
      <c r="BY33" s="9"/>
      <c r="BZ33" s="9"/>
      <c r="CA33" s="9"/>
      <c r="CB33" s="9"/>
      <c r="CC33" s="9"/>
      <c r="CD33" s="9"/>
      <c r="CE33" s="9"/>
      <c r="CF33" s="9"/>
      <c r="CG33" s="9"/>
      <c r="CH33" s="9"/>
      <c r="CI33" s="9"/>
      <c r="CJ33" s="9"/>
      <c r="CK33" s="9"/>
      <c r="CL33" s="9"/>
      <c r="CM33" s="9"/>
      <c r="CN33" s="9"/>
      <c r="CO33" s="9"/>
      <c r="CP33" s="9"/>
      <c r="CQ33" s="9"/>
      <c r="CR33" s="9"/>
      <c r="CS33" s="9"/>
    </row>
    <row r="34" spans="1:97" s="11" customFormat="1" ht="10.5" customHeight="1">
      <c r="A34" s="74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9"/>
      <c r="BW34" s="9"/>
      <c r="BX34" s="9"/>
      <c r="BY34" s="9"/>
      <c r="BZ34" s="9"/>
      <c r="CA34" s="9"/>
      <c r="CB34" s="9"/>
      <c r="CC34" s="9"/>
      <c r="CD34" s="9"/>
      <c r="CE34" s="9"/>
      <c r="CF34" s="9"/>
      <c r="CG34" s="9"/>
      <c r="CH34" s="9"/>
      <c r="CI34" s="9"/>
      <c r="CJ34" s="9"/>
      <c r="CK34" s="9"/>
      <c r="CL34" s="9"/>
      <c r="CM34" s="9"/>
      <c r="CN34" s="9"/>
      <c r="CO34" s="9"/>
      <c r="CP34" s="9"/>
      <c r="CQ34" s="9"/>
      <c r="CR34" s="9"/>
      <c r="CS34" s="9"/>
    </row>
    <row r="35" spans="1:97" s="16" customFormat="1" ht="10.5" customHeight="1">
      <c r="A35" s="77"/>
      <c r="B35" s="13" t="s">
        <v>157</v>
      </c>
      <c r="C35" s="14">
        <f t="shared" ref="C35:J35" si="2">SUM(C27:C33)</f>
        <v>685</v>
      </c>
      <c r="D35" s="14">
        <f t="shared" si="2"/>
        <v>25</v>
      </c>
      <c r="E35" s="14">
        <f t="shared" si="2"/>
        <v>34</v>
      </c>
      <c r="F35" s="14">
        <f t="shared" si="2"/>
        <v>2.25</v>
      </c>
      <c r="G35" s="14">
        <f t="shared" si="2"/>
        <v>28.6</v>
      </c>
      <c r="H35" s="14">
        <f t="shared" si="2"/>
        <v>0</v>
      </c>
      <c r="I35" s="14">
        <f t="shared" si="2"/>
        <v>0</v>
      </c>
      <c r="J35" s="14">
        <f t="shared" si="2"/>
        <v>77</v>
      </c>
      <c r="K35" s="14"/>
      <c r="L35" s="14">
        <f t="shared" ref="L35:AG35" si="3">SUM(L27:L33)</f>
        <v>0</v>
      </c>
      <c r="M35" s="14">
        <f t="shared" si="3"/>
        <v>150</v>
      </c>
      <c r="N35" s="14">
        <f t="shared" si="3"/>
        <v>0</v>
      </c>
      <c r="O35" s="14">
        <f t="shared" si="3"/>
        <v>0</v>
      </c>
      <c r="P35" s="14">
        <f t="shared" si="3"/>
        <v>41</v>
      </c>
      <c r="Q35" s="14">
        <f t="shared" si="3"/>
        <v>0</v>
      </c>
      <c r="R35" s="14">
        <f t="shared" si="3"/>
        <v>113</v>
      </c>
      <c r="S35" s="14">
        <f t="shared" si="3"/>
        <v>0</v>
      </c>
      <c r="T35" s="14">
        <f t="shared" si="3"/>
        <v>0</v>
      </c>
      <c r="U35" s="14">
        <f t="shared" si="3"/>
        <v>5</v>
      </c>
      <c r="V35" s="14">
        <f t="shared" si="3"/>
        <v>7.5</v>
      </c>
      <c r="W35" s="14">
        <f t="shared" si="3"/>
        <v>10</v>
      </c>
      <c r="X35" s="14">
        <f t="shared" si="3"/>
        <v>4.8</v>
      </c>
      <c r="Y35" s="14">
        <f t="shared" si="3"/>
        <v>0</v>
      </c>
      <c r="Z35" s="14">
        <f t="shared" si="3"/>
        <v>10</v>
      </c>
      <c r="AA35" s="14">
        <f t="shared" si="3"/>
        <v>0</v>
      </c>
      <c r="AB35" s="14">
        <f t="shared" si="3"/>
        <v>0</v>
      </c>
      <c r="AC35" s="14">
        <f t="shared" si="3"/>
        <v>0</v>
      </c>
      <c r="AD35" s="14">
        <f t="shared" si="3"/>
        <v>2.5</v>
      </c>
      <c r="AE35" s="14">
        <f t="shared" si="3"/>
        <v>0</v>
      </c>
      <c r="AF35" s="14">
        <f t="shared" si="3"/>
        <v>0</v>
      </c>
      <c r="AG35" s="14">
        <f t="shared" si="3"/>
        <v>0</v>
      </c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15"/>
      <c r="BO35" s="15"/>
      <c r="BP35" s="15"/>
      <c r="BQ35" s="15"/>
      <c r="BR35" s="15"/>
      <c r="BS35" s="15"/>
      <c r="BT35" s="15"/>
      <c r="BU35" s="15"/>
      <c r="BV35" s="15"/>
      <c r="BW35" s="15"/>
      <c r="BX35" s="15"/>
      <c r="BY35" s="15"/>
      <c r="BZ35" s="15"/>
      <c r="CA35" s="15"/>
      <c r="CB35" s="15"/>
      <c r="CC35" s="15"/>
      <c r="CD35" s="15"/>
      <c r="CE35" s="15"/>
      <c r="CF35" s="15"/>
      <c r="CG35" s="15"/>
      <c r="CH35" s="15"/>
      <c r="CI35" s="15"/>
      <c r="CJ35" s="15"/>
      <c r="CK35" s="15"/>
      <c r="CL35" s="15"/>
      <c r="CM35" s="15"/>
      <c r="CN35" s="15"/>
      <c r="CO35" s="15"/>
      <c r="CP35" s="15"/>
      <c r="CQ35" s="15"/>
      <c r="CR35" s="15"/>
      <c r="CS35" s="15"/>
    </row>
    <row r="36" spans="1:97" s="15" customFormat="1" ht="10.5" customHeight="1">
      <c r="A36" s="79"/>
      <c r="B36" s="23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</row>
    <row r="37" spans="1:97" s="10" customFormat="1" ht="10.5" customHeight="1">
      <c r="A37" s="189" t="s">
        <v>112</v>
      </c>
      <c r="B37" s="190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9"/>
      <c r="BS37" s="9"/>
      <c r="BT37" s="9"/>
      <c r="BU37" s="9"/>
      <c r="BV37" s="9"/>
      <c r="BW37" s="9"/>
      <c r="BX37" s="9"/>
      <c r="BY37" s="9"/>
      <c r="BZ37" s="9"/>
      <c r="CA37" s="9"/>
      <c r="CB37" s="9"/>
      <c r="CC37" s="9"/>
      <c r="CD37" s="9"/>
      <c r="CE37" s="9"/>
      <c r="CF37" s="9"/>
      <c r="CG37" s="9"/>
      <c r="CH37" s="9"/>
      <c r="CI37" s="9"/>
      <c r="CJ37" s="9"/>
      <c r="CK37" s="9"/>
    </row>
    <row r="38" spans="1:97" s="11" customFormat="1" ht="10.5" customHeight="1">
      <c r="A38" s="110"/>
      <c r="B38" s="111" t="s">
        <v>127</v>
      </c>
      <c r="C38" s="2">
        <v>80</v>
      </c>
      <c r="D38" s="2"/>
      <c r="E38" s="2"/>
      <c r="F38" s="2"/>
      <c r="G38" s="2"/>
      <c r="H38" s="2"/>
      <c r="I38" s="2"/>
      <c r="J38" s="2">
        <v>80</v>
      </c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>
        <v>4</v>
      </c>
      <c r="Y38" s="2"/>
      <c r="Z38" s="2">
        <v>3</v>
      </c>
      <c r="AA38" s="2"/>
      <c r="AB38" s="2"/>
      <c r="AC38" s="2"/>
      <c r="AD38" s="2"/>
      <c r="AE38" s="2"/>
      <c r="AF38" s="2"/>
      <c r="AG38" s="2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9"/>
      <c r="BU38" s="9"/>
      <c r="BV38" s="9"/>
      <c r="BW38" s="9"/>
      <c r="BX38" s="9"/>
      <c r="BY38" s="9"/>
      <c r="BZ38" s="9"/>
      <c r="CA38" s="9"/>
      <c r="CB38" s="9"/>
      <c r="CC38" s="9"/>
      <c r="CD38" s="9"/>
      <c r="CE38" s="9"/>
      <c r="CF38" s="9"/>
      <c r="CG38" s="9"/>
      <c r="CH38" s="9"/>
      <c r="CI38" s="9"/>
      <c r="CJ38" s="9"/>
      <c r="CK38" s="9"/>
      <c r="CL38" s="9"/>
      <c r="CM38" s="9"/>
      <c r="CN38" s="9"/>
      <c r="CO38" s="9"/>
      <c r="CP38" s="9"/>
      <c r="CQ38" s="9"/>
      <c r="CR38" s="9"/>
      <c r="CS38" s="9"/>
    </row>
    <row r="39" spans="1:97" s="11" customFormat="1" ht="10.5" customHeight="1">
      <c r="A39" s="110" t="s">
        <v>106</v>
      </c>
      <c r="B39" s="111" t="s">
        <v>105</v>
      </c>
      <c r="C39" s="2">
        <v>110</v>
      </c>
      <c r="D39" s="2"/>
      <c r="E39" s="2"/>
      <c r="F39" s="2">
        <v>2.5</v>
      </c>
      <c r="G39" s="2"/>
      <c r="H39" s="2"/>
      <c r="I39" s="2"/>
      <c r="J39" s="2">
        <v>6</v>
      </c>
      <c r="K39" s="2"/>
      <c r="L39" s="2"/>
      <c r="M39" s="2"/>
      <c r="N39" s="2"/>
      <c r="O39" s="2"/>
      <c r="P39" s="2"/>
      <c r="Q39" s="1">
        <f>37*2</f>
        <v>74</v>
      </c>
      <c r="R39" s="2">
        <v>25</v>
      </c>
      <c r="S39" s="2"/>
      <c r="T39" s="2"/>
      <c r="U39" s="2">
        <v>4</v>
      </c>
      <c r="V39" s="2"/>
      <c r="W39" s="2">
        <v>5</v>
      </c>
      <c r="X39" s="2">
        <v>4</v>
      </c>
      <c r="Y39" s="2"/>
      <c r="Z39" s="2"/>
      <c r="AA39" s="2"/>
      <c r="AB39" s="2"/>
      <c r="AC39" s="2"/>
      <c r="AD39" s="2"/>
      <c r="AE39" s="2"/>
      <c r="AF39" s="2"/>
      <c r="AG39" s="2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9"/>
      <c r="BS39" s="9"/>
      <c r="BT39" s="9"/>
      <c r="BU39" s="9"/>
      <c r="BV39" s="9"/>
      <c r="BW39" s="9"/>
      <c r="BX39" s="9"/>
      <c r="BY39" s="9"/>
      <c r="BZ39" s="9"/>
      <c r="CA39" s="9"/>
      <c r="CB39" s="9"/>
      <c r="CC39" s="9"/>
      <c r="CD39" s="9"/>
      <c r="CE39" s="9"/>
      <c r="CF39" s="9"/>
      <c r="CG39" s="9"/>
      <c r="CH39" s="9"/>
      <c r="CI39" s="9"/>
      <c r="CJ39" s="9"/>
      <c r="CK39" s="9"/>
      <c r="CL39" s="9"/>
      <c r="CM39" s="9"/>
      <c r="CN39" s="9"/>
      <c r="CO39" s="9"/>
      <c r="CP39" s="9"/>
      <c r="CQ39" s="9"/>
      <c r="CR39" s="9"/>
      <c r="CS39" s="9"/>
    </row>
    <row r="40" spans="1:97" s="11" customFormat="1" ht="10.5" customHeight="1">
      <c r="A40" s="110">
        <v>312</v>
      </c>
      <c r="B40" s="111" t="s">
        <v>75</v>
      </c>
      <c r="C40" s="2">
        <v>150</v>
      </c>
      <c r="D40" s="2"/>
      <c r="E40" s="2"/>
      <c r="F40" s="2"/>
      <c r="G40" s="2"/>
      <c r="H40" s="2"/>
      <c r="I40" s="2">
        <f>85.5*1.5</f>
        <v>128.25</v>
      </c>
      <c r="J40" s="2"/>
      <c r="K40" s="2"/>
      <c r="L40" s="2"/>
      <c r="M40" s="2"/>
      <c r="N40" s="2"/>
      <c r="O40" s="2"/>
      <c r="P40" s="2"/>
      <c r="Q40" s="1"/>
      <c r="R40" s="2">
        <f>15*1.5</f>
        <v>22.5</v>
      </c>
      <c r="S40" s="2"/>
      <c r="T40" s="2"/>
      <c r="U40" s="2"/>
      <c r="V40" s="2"/>
      <c r="W40" s="2">
        <f>3.5*1.5</f>
        <v>5.25</v>
      </c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  <c r="BR40" s="9"/>
      <c r="BS40" s="9"/>
      <c r="BT40" s="9"/>
      <c r="BU40" s="9"/>
      <c r="BV40" s="9"/>
      <c r="BW40" s="9"/>
      <c r="BX40" s="9"/>
      <c r="BY40" s="9"/>
      <c r="BZ40" s="9"/>
      <c r="CA40" s="9"/>
      <c r="CB40" s="9"/>
      <c r="CC40" s="9"/>
      <c r="CD40" s="9"/>
      <c r="CE40" s="9"/>
      <c r="CF40" s="9"/>
      <c r="CG40" s="9"/>
      <c r="CH40" s="9"/>
      <c r="CI40" s="9"/>
      <c r="CJ40" s="9"/>
      <c r="CK40" s="9"/>
    </row>
    <row r="41" spans="1:97" s="11" customFormat="1" ht="10.5" customHeight="1">
      <c r="A41" s="110">
        <v>377</v>
      </c>
      <c r="B41" s="111" t="s">
        <v>38</v>
      </c>
      <c r="C41" s="2">
        <v>200</v>
      </c>
      <c r="D41" s="2"/>
      <c r="E41" s="2"/>
      <c r="F41" s="2"/>
      <c r="G41" s="2"/>
      <c r="H41" s="2"/>
      <c r="I41" s="2"/>
      <c r="J41" s="2"/>
      <c r="K41" s="2">
        <v>7</v>
      </c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>
        <v>10</v>
      </c>
      <c r="AA41" s="2"/>
      <c r="AB41" s="2">
        <v>0.4</v>
      </c>
      <c r="AC41" s="2"/>
      <c r="AD41" s="2"/>
      <c r="AE41" s="2"/>
      <c r="AF41" s="2"/>
      <c r="AG41" s="2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9"/>
      <c r="BO41" s="9"/>
      <c r="BP41" s="9"/>
      <c r="BQ41" s="9"/>
      <c r="BR41" s="9"/>
      <c r="BS41" s="9"/>
      <c r="BT41" s="9"/>
      <c r="BU41" s="9"/>
      <c r="BV41" s="9"/>
      <c r="BW41" s="9"/>
      <c r="BX41" s="9"/>
      <c r="BY41" s="9"/>
      <c r="BZ41" s="9"/>
      <c r="CA41" s="9"/>
      <c r="CB41" s="9"/>
      <c r="CC41" s="9"/>
      <c r="CD41" s="9"/>
      <c r="CE41" s="9"/>
      <c r="CF41" s="9"/>
      <c r="CG41" s="9"/>
      <c r="CH41" s="9"/>
      <c r="CI41" s="9"/>
      <c r="CJ41" s="9"/>
      <c r="CK41" s="9"/>
      <c r="CL41" s="9"/>
      <c r="CM41" s="9"/>
      <c r="CN41" s="9"/>
      <c r="CO41" s="9"/>
      <c r="CP41" s="9"/>
      <c r="CQ41" s="9"/>
      <c r="CR41" s="9"/>
      <c r="CS41" s="9"/>
    </row>
    <row r="42" spans="1:97" s="11" customFormat="1" ht="10.5" customHeight="1">
      <c r="A42" s="110"/>
      <c r="B42" s="111" t="s">
        <v>128</v>
      </c>
      <c r="C42" s="2">
        <v>25</v>
      </c>
      <c r="D42" s="2">
        <v>25</v>
      </c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9"/>
      <c r="BS42" s="9"/>
      <c r="BT42" s="9"/>
      <c r="BU42" s="9"/>
      <c r="BV42" s="9"/>
      <c r="BW42" s="9"/>
      <c r="BX42" s="9"/>
      <c r="BY42" s="9"/>
      <c r="BZ42" s="9"/>
      <c r="CA42" s="9"/>
      <c r="CB42" s="9"/>
      <c r="CC42" s="9"/>
      <c r="CD42" s="9"/>
      <c r="CE42" s="9"/>
      <c r="CF42" s="9"/>
      <c r="CG42" s="9"/>
      <c r="CH42" s="9"/>
      <c r="CI42" s="9"/>
      <c r="CJ42" s="9"/>
      <c r="CK42" s="9"/>
    </row>
    <row r="43" spans="1:97" ht="10.5" customHeight="1">
      <c r="A43" s="116" t="s">
        <v>39</v>
      </c>
      <c r="B43" s="111" t="s">
        <v>94</v>
      </c>
      <c r="C43" s="1">
        <v>50</v>
      </c>
      <c r="F43" s="1">
        <v>25.5</v>
      </c>
      <c r="K43" s="1">
        <v>15</v>
      </c>
      <c r="R43" s="1">
        <v>15</v>
      </c>
      <c r="W43" s="1">
        <v>5</v>
      </c>
      <c r="Z43" s="1">
        <v>4</v>
      </c>
      <c r="AE43" s="1">
        <v>1</v>
      </c>
    </row>
    <row r="44" spans="1:97" s="11" customFormat="1" ht="10.5" customHeight="1">
      <c r="A44" s="74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9"/>
      <c r="BS44" s="9"/>
      <c r="BT44" s="9"/>
      <c r="BU44" s="9"/>
      <c r="BV44" s="9"/>
      <c r="BW44" s="9"/>
      <c r="BX44" s="9"/>
      <c r="BY44" s="9"/>
      <c r="BZ44" s="9"/>
      <c r="CA44" s="9"/>
      <c r="CB44" s="9"/>
      <c r="CC44" s="9"/>
      <c r="CD44" s="9"/>
      <c r="CE44" s="9"/>
      <c r="CF44" s="9"/>
      <c r="CG44" s="9"/>
      <c r="CH44" s="9"/>
      <c r="CI44" s="9"/>
      <c r="CJ44" s="9"/>
      <c r="CK44" s="9"/>
      <c r="CL44" s="9"/>
      <c r="CM44" s="9"/>
      <c r="CN44" s="9"/>
      <c r="CO44" s="9"/>
      <c r="CP44" s="9"/>
      <c r="CQ44" s="9"/>
      <c r="CR44" s="9"/>
      <c r="CS44" s="9"/>
    </row>
    <row r="45" spans="1:97" s="16" customFormat="1" ht="10.5" customHeight="1">
      <c r="A45" s="77"/>
      <c r="B45" s="13" t="s">
        <v>157</v>
      </c>
      <c r="C45" s="14">
        <f t="shared" ref="C45:AG45" si="4">SUM(C38:C44)</f>
        <v>615</v>
      </c>
      <c r="D45" s="14">
        <f t="shared" si="4"/>
        <v>25</v>
      </c>
      <c r="E45" s="14">
        <f t="shared" si="4"/>
        <v>0</v>
      </c>
      <c r="F45" s="14">
        <f t="shared" si="4"/>
        <v>28</v>
      </c>
      <c r="G45" s="14">
        <f t="shared" si="4"/>
        <v>0</v>
      </c>
      <c r="H45" s="14">
        <f t="shared" si="4"/>
        <v>0</v>
      </c>
      <c r="I45" s="14">
        <f t="shared" si="4"/>
        <v>128.25</v>
      </c>
      <c r="J45" s="14">
        <f t="shared" si="4"/>
        <v>86</v>
      </c>
      <c r="K45" s="14">
        <f t="shared" si="4"/>
        <v>22</v>
      </c>
      <c r="L45" s="14">
        <f t="shared" si="4"/>
        <v>0</v>
      </c>
      <c r="M45" s="14">
        <f t="shared" si="4"/>
        <v>0</v>
      </c>
      <c r="N45" s="14">
        <f t="shared" si="4"/>
        <v>0</v>
      </c>
      <c r="O45" s="14">
        <f t="shared" si="4"/>
        <v>0</v>
      </c>
      <c r="P45" s="14">
        <f t="shared" si="4"/>
        <v>0</v>
      </c>
      <c r="Q45" s="14">
        <f t="shared" si="4"/>
        <v>74</v>
      </c>
      <c r="R45" s="14">
        <f t="shared" si="4"/>
        <v>62.5</v>
      </c>
      <c r="S45" s="14">
        <f t="shared" si="4"/>
        <v>0</v>
      </c>
      <c r="T45" s="14">
        <f t="shared" si="4"/>
        <v>0</v>
      </c>
      <c r="U45" s="14">
        <f t="shared" si="4"/>
        <v>4</v>
      </c>
      <c r="V45" s="14">
        <f t="shared" si="4"/>
        <v>0</v>
      </c>
      <c r="W45" s="14">
        <f t="shared" si="4"/>
        <v>15.25</v>
      </c>
      <c r="X45" s="14">
        <f t="shared" si="4"/>
        <v>8</v>
      </c>
      <c r="Y45" s="14">
        <f t="shared" si="4"/>
        <v>0</v>
      </c>
      <c r="Z45" s="14">
        <f t="shared" si="4"/>
        <v>17</v>
      </c>
      <c r="AA45" s="14">
        <f t="shared" si="4"/>
        <v>0</v>
      </c>
      <c r="AB45" s="14">
        <f t="shared" si="4"/>
        <v>0.4</v>
      </c>
      <c r="AC45" s="14">
        <f t="shared" si="4"/>
        <v>0</v>
      </c>
      <c r="AD45" s="14">
        <f t="shared" si="4"/>
        <v>0</v>
      </c>
      <c r="AE45" s="14">
        <f t="shared" si="4"/>
        <v>1</v>
      </c>
      <c r="AF45" s="14">
        <f t="shared" si="4"/>
        <v>0</v>
      </c>
      <c r="AG45" s="14">
        <f t="shared" si="4"/>
        <v>0</v>
      </c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  <c r="BF45" s="15"/>
      <c r="BG45" s="15"/>
      <c r="BH45" s="15"/>
      <c r="BI45" s="15"/>
      <c r="BJ45" s="15"/>
      <c r="BK45" s="15"/>
      <c r="BL45" s="15"/>
      <c r="BM45" s="15"/>
      <c r="BN45" s="15"/>
      <c r="BO45" s="15"/>
      <c r="BP45" s="15"/>
      <c r="BQ45" s="15"/>
      <c r="BR45" s="15"/>
      <c r="BS45" s="15"/>
      <c r="BT45" s="15"/>
      <c r="BU45" s="15"/>
      <c r="BV45" s="15"/>
      <c r="BW45" s="15"/>
      <c r="BX45" s="15"/>
      <c r="BY45" s="15"/>
      <c r="BZ45" s="15"/>
      <c r="CA45" s="15"/>
      <c r="CB45" s="15"/>
      <c r="CC45" s="15"/>
      <c r="CD45" s="15"/>
      <c r="CE45" s="15"/>
      <c r="CF45" s="15"/>
      <c r="CG45" s="15"/>
      <c r="CH45" s="15"/>
      <c r="CI45" s="15"/>
      <c r="CJ45" s="15"/>
      <c r="CK45" s="15"/>
      <c r="CL45" s="15"/>
      <c r="CM45" s="15"/>
      <c r="CN45" s="15"/>
      <c r="CO45" s="15"/>
      <c r="CP45" s="15"/>
      <c r="CQ45" s="15"/>
      <c r="CR45" s="15"/>
      <c r="CS45" s="15"/>
    </row>
    <row r="46" spans="1:97" s="15" customFormat="1" ht="10.5" customHeight="1">
      <c r="A46" s="79"/>
      <c r="B46" s="23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</row>
    <row r="47" spans="1:97" s="10" customFormat="1" ht="10.5" customHeight="1">
      <c r="A47" s="189" t="s">
        <v>113</v>
      </c>
      <c r="B47" s="190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9"/>
      <c r="BS47" s="9"/>
      <c r="BT47" s="9"/>
      <c r="BU47" s="9"/>
      <c r="BV47" s="9"/>
      <c r="BW47" s="9"/>
      <c r="BX47" s="9"/>
      <c r="BY47" s="9"/>
      <c r="BZ47" s="9"/>
      <c r="CA47" s="9"/>
      <c r="CB47" s="9"/>
      <c r="CC47" s="9"/>
      <c r="CD47" s="9"/>
      <c r="CE47" s="9"/>
      <c r="CF47" s="9"/>
      <c r="CG47" s="9"/>
      <c r="CH47" s="9"/>
      <c r="CI47" s="9"/>
      <c r="CJ47" s="9"/>
      <c r="CK47" s="9"/>
      <c r="CL47" s="9"/>
      <c r="CM47" s="9"/>
      <c r="CN47" s="9"/>
      <c r="CO47" s="9"/>
      <c r="CP47" s="9"/>
      <c r="CQ47" s="9"/>
      <c r="CR47" s="9"/>
      <c r="CS47" s="9"/>
    </row>
    <row r="48" spans="1:97" s="11" customFormat="1" ht="10.5" customHeight="1">
      <c r="A48" s="117"/>
      <c r="B48" s="115" t="s">
        <v>129</v>
      </c>
      <c r="C48" s="20">
        <v>70</v>
      </c>
      <c r="D48" s="2"/>
      <c r="E48" s="2"/>
      <c r="F48" s="2"/>
      <c r="G48" s="2"/>
      <c r="H48" s="2"/>
      <c r="I48" s="2"/>
      <c r="J48" s="2">
        <v>70</v>
      </c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9"/>
      <c r="BQ48" s="9"/>
      <c r="BR48" s="9"/>
      <c r="BS48" s="9"/>
      <c r="BT48" s="9"/>
      <c r="BU48" s="9"/>
      <c r="BV48" s="9"/>
      <c r="BW48" s="9"/>
      <c r="BX48" s="9"/>
      <c r="BY48" s="9"/>
      <c r="BZ48" s="9"/>
      <c r="CA48" s="9"/>
      <c r="CB48" s="9"/>
      <c r="CC48" s="9"/>
      <c r="CD48" s="9"/>
      <c r="CE48" s="9"/>
      <c r="CF48" s="9"/>
      <c r="CG48" s="9"/>
      <c r="CH48" s="9"/>
      <c r="CI48" s="9"/>
      <c r="CJ48" s="9"/>
      <c r="CK48" s="9"/>
      <c r="CL48" s="9"/>
      <c r="CM48" s="9"/>
      <c r="CN48" s="9"/>
      <c r="CO48" s="9"/>
      <c r="CP48" s="9"/>
      <c r="CQ48" s="9"/>
      <c r="CR48" s="9"/>
      <c r="CS48" s="9"/>
    </row>
    <row r="49" spans="1:97" s="11" customFormat="1" ht="10.5" customHeight="1">
      <c r="A49" s="110">
        <v>212</v>
      </c>
      <c r="B49" s="111" t="s">
        <v>96</v>
      </c>
      <c r="C49" s="2">
        <v>150</v>
      </c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>
        <v>37.5</v>
      </c>
      <c r="P49" s="2"/>
      <c r="Q49" s="2"/>
      <c r="R49" s="2">
        <v>32.6</v>
      </c>
      <c r="S49" s="2"/>
      <c r="T49" s="2"/>
      <c r="U49" s="2"/>
      <c r="V49" s="2"/>
      <c r="W49" s="2">
        <v>9.1999999999999993</v>
      </c>
      <c r="X49" s="2"/>
      <c r="Y49" s="2">
        <v>92.4</v>
      </c>
      <c r="Z49" s="2"/>
      <c r="AA49" s="2"/>
      <c r="AB49" s="2"/>
      <c r="AC49" s="2"/>
      <c r="AD49" s="2"/>
      <c r="AE49" s="2"/>
      <c r="AF49" s="2"/>
      <c r="AG49" s="2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9"/>
      <c r="BO49" s="9"/>
      <c r="BP49" s="9"/>
      <c r="BQ49" s="9"/>
      <c r="BR49" s="9"/>
      <c r="BS49" s="9"/>
      <c r="BT49" s="9"/>
      <c r="BU49" s="9"/>
      <c r="BV49" s="9"/>
      <c r="BW49" s="9"/>
      <c r="BX49" s="9"/>
      <c r="BY49" s="9"/>
      <c r="BZ49" s="9"/>
      <c r="CA49" s="9"/>
      <c r="CB49" s="9"/>
      <c r="CC49" s="9"/>
      <c r="CD49" s="9"/>
      <c r="CE49" s="9"/>
      <c r="CF49" s="9"/>
      <c r="CG49" s="9"/>
      <c r="CH49" s="9"/>
      <c r="CI49" s="9"/>
      <c r="CJ49" s="9"/>
      <c r="CK49" s="9"/>
      <c r="CL49" s="9"/>
      <c r="CM49" s="9"/>
      <c r="CN49" s="9"/>
      <c r="CO49" s="9"/>
      <c r="CP49" s="9"/>
      <c r="CQ49" s="9"/>
      <c r="CR49" s="9"/>
      <c r="CS49" s="9"/>
    </row>
    <row r="50" spans="1:97" s="11" customFormat="1" ht="10.5" customHeight="1">
      <c r="A50" s="110"/>
      <c r="B50" s="111" t="s">
        <v>92</v>
      </c>
      <c r="C50" s="2">
        <v>200</v>
      </c>
      <c r="D50" s="2"/>
      <c r="E50" s="2"/>
      <c r="F50" s="2"/>
      <c r="G50" s="2"/>
      <c r="H50" s="2"/>
      <c r="I50" s="2"/>
      <c r="J50" s="2"/>
      <c r="K50" s="2">
        <v>40</v>
      </c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>
        <v>5</v>
      </c>
      <c r="AA50" s="2"/>
      <c r="AB50" s="2">
        <v>0.1</v>
      </c>
      <c r="AC50" s="2"/>
      <c r="AD50" s="2"/>
      <c r="AE50" s="2"/>
      <c r="AF50" s="2"/>
      <c r="AG50" s="2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9"/>
      <c r="BS50" s="9"/>
      <c r="BT50" s="9"/>
      <c r="BU50" s="9"/>
      <c r="BV50" s="9"/>
      <c r="BW50" s="9"/>
      <c r="BX50" s="9"/>
      <c r="BY50" s="9"/>
      <c r="BZ50" s="9"/>
      <c r="CA50" s="9"/>
      <c r="CB50" s="9"/>
      <c r="CC50" s="9"/>
      <c r="CD50" s="9"/>
      <c r="CE50" s="9"/>
      <c r="CF50" s="9"/>
      <c r="CG50" s="9"/>
      <c r="CH50" s="9"/>
      <c r="CI50" s="9"/>
      <c r="CJ50" s="9"/>
      <c r="CK50" s="9"/>
      <c r="CL50" s="9"/>
      <c r="CM50" s="9"/>
      <c r="CN50" s="9"/>
      <c r="CO50" s="9"/>
      <c r="CP50" s="9"/>
      <c r="CQ50" s="9"/>
      <c r="CR50" s="9"/>
      <c r="CS50" s="9"/>
    </row>
    <row r="51" spans="1:97" s="11" customFormat="1" ht="10.5" customHeight="1">
      <c r="A51" s="118"/>
      <c r="B51" s="111" t="s">
        <v>4</v>
      </c>
      <c r="C51" s="2">
        <v>40</v>
      </c>
      <c r="D51" s="2"/>
      <c r="E51" s="2">
        <v>40</v>
      </c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9"/>
      <c r="BN51" s="9"/>
      <c r="BO51" s="9"/>
      <c r="BP51" s="9"/>
      <c r="BQ51" s="9"/>
      <c r="BR51" s="9"/>
      <c r="BS51" s="9"/>
      <c r="BT51" s="9"/>
      <c r="BU51" s="9"/>
      <c r="BV51" s="9"/>
      <c r="BW51" s="9"/>
      <c r="BX51" s="9"/>
      <c r="BY51" s="9"/>
      <c r="BZ51" s="9"/>
      <c r="CA51" s="9"/>
      <c r="CB51" s="9"/>
      <c r="CC51" s="9"/>
      <c r="CD51" s="9"/>
      <c r="CE51" s="9"/>
      <c r="CF51" s="9"/>
      <c r="CG51" s="9"/>
      <c r="CH51" s="9"/>
      <c r="CI51" s="9"/>
      <c r="CJ51" s="9"/>
      <c r="CK51" s="9"/>
      <c r="CL51" s="9"/>
      <c r="CM51" s="9"/>
      <c r="CN51" s="9"/>
      <c r="CO51" s="9"/>
      <c r="CP51" s="9"/>
      <c r="CQ51" s="9"/>
      <c r="CR51" s="9"/>
      <c r="CS51" s="9"/>
    </row>
    <row r="52" spans="1:97" ht="10.5" customHeight="1">
      <c r="A52" s="119"/>
      <c r="B52" s="111" t="s">
        <v>128</v>
      </c>
      <c r="C52" s="2">
        <v>25</v>
      </c>
      <c r="D52" s="2">
        <v>25</v>
      </c>
    </row>
    <row r="53" spans="1:97" s="11" customFormat="1" ht="10.5" customHeight="1">
      <c r="A53" s="110">
        <v>368</v>
      </c>
      <c r="B53" s="111" t="s">
        <v>136</v>
      </c>
      <c r="C53" s="2">
        <v>120</v>
      </c>
      <c r="D53" s="2"/>
      <c r="E53" s="2"/>
      <c r="F53" s="2"/>
      <c r="G53" s="2"/>
      <c r="H53" s="2"/>
      <c r="I53" s="2"/>
      <c r="J53" s="2"/>
      <c r="K53" s="2">
        <v>120</v>
      </c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9"/>
      <c r="BO53" s="9"/>
      <c r="BP53" s="9"/>
      <c r="BQ53" s="9"/>
      <c r="BR53" s="9"/>
      <c r="BS53" s="9"/>
      <c r="BT53" s="9"/>
      <c r="BU53" s="9"/>
      <c r="BV53" s="9"/>
      <c r="BW53" s="9"/>
      <c r="BX53" s="9"/>
      <c r="BY53" s="9"/>
      <c r="BZ53" s="9"/>
      <c r="CA53" s="9"/>
      <c r="CB53" s="9"/>
      <c r="CC53" s="9"/>
      <c r="CD53" s="9"/>
      <c r="CE53" s="9"/>
      <c r="CF53" s="9"/>
      <c r="CG53" s="9"/>
      <c r="CH53" s="9"/>
      <c r="CI53" s="9"/>
      <c r="CJ53" s="9"/>
      <c r="CK53" s="9"/>
      <c r="CL53" s="9"/>
      <c r="CM53" s="9"/>
      <c r="CN53" s="9"/>
      <c r="CO53" s="9"/>
      <c r="CP53" s="9"/>
      <c r="CQ53" s="9"/>
      <c r="CR53" s="9"/>
      <c r="CS53" s="9"/>
    </row>
    <row r="54" spans="1:97" s="11" customFormat="1" ht="10.5" customHeight="1">
      <c r="A54" s="74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  <c r="BN54" s="9"/>
      <c r="BO54" s="9"/>
      <c r="BP54" s="9"/>
      <c r="BQ54" s="9"/>
      <c r="BR54" s="9"/>
      <c r="BS54" s="9"/>
      <c r="BT54" s="9"/>
      <c r="BU54" s="9"/>
      <c r="BV54" s="9"/>
      <c r="BW54" s="9"/>
      <c r="BX54" s="9"/>
      <c r="BY54" s="9"/>
      <c r="BZ54" s="9"/>
      <c r="CA54" s="9"/>
      <c r="CB54" s="9"/>
      <c r="CC54" s="9"/>
      <c r="CD54" s="9"/>
      <c r="CE54" s="9"/>
      <c r="CF54" s="9"/>
      <c r="CG54" s="9"/>
      <c r="CH54" s="9"/>
      <c r="CI54" s="9"/>
      <c r="CJ54" s="9"/>
      <c r="CK54" s="9"/>
      <c r="CL54" s="9"/>
      <c r="CM54" s="9"/>
      <c r="CN54" s="9"/>
      <c r="CO54" s="9"/>
      <c r="CP54" s="9"/>
      <c r="CQ54" s="9"/>
      <c r="CR54" s="9"/>
      <c r="CS54" s="9"/>
    </row>
    <row r="55" spans="1:97" s="16" customFormat="1" ht="10.5" customHeight="1">
      <c r="A55" s="77"/>
      <c r="B55" s="13" t="s">
        <v>157</v>
      </c>
      <c r="C55" s="14">
        <f t="shared" ref="C55:J55" si="5">SUM(C48:C53)</f>
        <v>605</v>
      </c>
      <c r="D55" s="14">
        <f t="shared" si="5"/>
        <v>25</v>
      </c>
      <c r="E55" s="14">
        <f t="shared" si="5"/>
        <v>40</v>
      </c>
      <c r="F55" s="14">
        <f t="shared" si="5"/>
        <v>0</v>
      </c>
      <c r="G55" s="14">
        <f t="shared" si="5"/>
        <v>0</v>
      </c>
      <c r="H55" s="14">
        <f t="shared" si="5"/>
        <v>0</v>
      </c>
      <c r="I55" s="14">
        <f t="shared" si="5"/>
        <v>0</v>
      </c>
      <c r="J55" s="14">
        <f t="shared" si="5"/>
        <v>70</v>
      </c>
      <c r="K55" s="14">
        <f>K48+K49+K50+K51+K53+K52</f>
        <v>160</v>
      </c>
      <c r="L55" s="14">
        <f t="shared" ref="L55:AG55" si="6">SUM(L48:L53)</f>
        <v>0</v>
      </c>
      <c r="M55" s="14">
        <f t="shared" si="6"/>
        <v>0</v>
      </c>
      <c r="N55" s="14">
        <f t="shared" si="6"/>
        <v>0</v>
      </c>
      <c r="O55" s="14">
        <f t="shared" si="6"/>
        <v>37.5</v>
      </c>
      <c r="P55" s="14">
        <f t="shared" si="6"/>
        <v>0</v>
      </c>
      <c r="Q55" s="14">
        <f t="shared" si="6"/>
        <v>0</v>
      </c>
      <c r="R55" s="14">
        <f t="shared" si="6"/>
        <v>32.6</v>
      </c>
      <c r="S55" s="14">
        <f t="shared" si="6"/>
        <v>0</v>
      </c>
      <c r="T55" s="14">
        <f t="shared" si="6"/>
        <v>0</v>
      </c>
      <c r="U55" s="14">
        <f t="shared" si="6"/>
        <v>0</v>
      </c>
      <c r="V55" s="14">
        <f t="shared" si="6"/>
        <v>0</v>
      </c>
      <c r="W55" s="14">
        <f t="shared" si="6"/>
        <v>9.1999999999999993</v>
      </c>
      <c r="X55" s="14">
        <f t="shared" si="6"/>
        <v>0</v>
      </c>
      <c r="Y55" s="14">
        <f t="shared" si="6"/>
        <v>92.4</v>
      </c>
      <c r="Z55" s="14">
        <f t="shared" si="6"/>
        <v>5</v>
      </c>
      <c r="AA55" s="14">
        <f t="shared" si="6"/>
        <v>0</v>
      </c>
      <c r="AB55" s="14">
        <f t="shared" si="6"/>
        <v>0.1</v>
      </c>
      <c r="AC55" s="14">
        <f t="shared" si="6"/>
        <v>0</v>
      </c>
      <c r="AD55" s="14">
        <f t="shared" si="6"/>
        <v>0</v>
      </c>
      <c r="AE55" s="14">
        <f t="shared" si="6"/>
        <v>0</v>
      </c>
      <c r="AF55" s="14">
        <f t="shared" si="6"/>
        <v>0</v>
      </c>
      <c r="AG55" s="14">
        <f t="shared" si="6"/>
        <v>0</v>
      </c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  <c r="BF55" s="15"/>
      <c r="BG55" s="15"/>
      <c r="BH55" s="15"/>
      <c r="BI55" s="15"/>
      <c r="BJ55" s="15"/>
      <c r="BK55" s="15"/>
      <c r="BL55" s="15"/>
      <c r="BM55" s="15"/>
      <c r="BN55" s="15"/>
      <c r="BO55" s="15"/>
      <c r="BP55" s="15"/>
      <c r="BQ55" s="15"/>
      <c r="BR55" s="15"/>
      <c r="BS55" s="15"/>
      <c r="BT55" s="15"/>
      <c r="BU55" s="15"/>
      <c r="BV55" s="15"/>
      <c r="BW55" s="15"/>
      <c r="BX55" s="15"/>
      <c r="BY55" s="15"/>
      <c r="BZ55" s="15"/>
      <c r="CA55" s="15"/>
      <c r="CB55" s="15"/>
      <c r="CC55" s="15"/>
      <c r="CD55" s="15"/>
      <c r="CE55" s="15"/>
      <c r="CF55" s="15"/>
      <c r="CG55" s="15"/>
      <c r="CH55" s="15"/>
      <c r="CI55" s="15"/>
      <c r="CJ55" s="15"/>
      <c r="CK55" s="15"/>
      <c r="CL55" s="15"/>
      <c r="CM55" s="15"/>
      <c r="CN55" s="15"/>
      <c r="CO55" s="15"/>
      <c r="CP55" s="15"/>
      <c r="CQ55" s="15"/>
      <c r="CR55" s="15"/>
      <c r="CS55" s="15"/>
    </row>
    <row r="56" spans="1:97" ht="10.5" customHeight="1">
      <c r="A56" s="76"/>
    </row>
    <row r="57" spans="1:97" s="10" customFormat="1" ht="10.5" customHeight="1">
      <c r="A57" s="189" t="s">
        <v>114</v>
      </c>
      <c r="B57" s="190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9"/>
      <c r="BS57" s="9"/>
      <c r="BT57" s="9"/>
      <c r="BU57" s="9"/>
      <c r="BV57" s="9"/>
      <c r="BW57" s="9"/>
      <c r="BX57" s="9"/>
      <c r="BY57" s="9"/>
      <c r="BZ57" s="9"/>
      <c r="CA57" s="9"/>
      <c r="CB57" s="9"/>
      <c r="CC57" s="9"/>
      <c r="CD57" s="9"/>
      <c r="CE57" s="9"/>
      <c r="CF57" s="9"/>
      <c r="CG57" s="9"/>
      <c r="CH57" s="9"/>
      <c r="CI57" s="9"/>
      <c r="CJ57" s="9"/>
      <c r="CK57" s="9"/>
      <c r="CL57" s="9"/>
      <c r="CM57" s="9"/>
      <c r="CN57" s="9"/>
      <c r="CO57" s="9"/>
      <c r="CP57" s="9"/>
      <c r="CQ57" s="9"/>
      <c r="CR57" s="9"/>
      <c r="CS57" s="9"/>
    </row>
    <row r="58" spans="1:97" s="11" customFormat="1" ht="10.5" customHeight="1">
      <c r="A58" s="110"/>
      <c r="B58" s="111" t="s">
        <v>120</v>
      </c>
      <c r="C58" s="2">
        <v>60</v>
      </c>
      <c r="D58" s="2"/>
      <c r="E58" s="2"/>
      <c r="F58" s="2"/>
      <c r="G58" s="2"/>
      <c r="H58" s="2"/>
      <c r="I58" s="2"/>
      <c r="J58" s="2">
        <v>60</v>
      </c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9"/>
      <c r="BN58" s="9"/>
      <c r="BO58" s="9"/>
      <c r="BP58" s="9"/>
      <c r="BQ58" s="9"/>
      <c r="BR58" s="9"/>
      <c r="BS58" s="9"/>
      <c r="BT58" s="9"/>
      <c r="BU58" s="9"/>
      <c r="BV58" s="9"/>
      <c r="BW58" s="9"/>
      <c r="BX58" s="9"/>
      <c r="BY58" s="9"/>
      <c r="BZ58" s="9"/>
      <c r="CA58" s="9"/>
      <c r="CB58" s="9"/>
      <c r="CC58" s="9"/>
      <c r="CD58" s="9"/>
      <c r="CE58" s="9"/>
      <c r="CF58" s="9"/>
      <c r="CG58" s="9"/>
      <c r="CH58" s="9"/>
      <c r="CI58" s="9"/>
      <c r="CJ58" s="9"/>
      <c r="CK58" s="9"/>
      <c r="CL58" s="9"/>
      <c r="CM58" s="9"/>
      <c r="CN58" s="9"/>
      <c r="CO58" s="9"/>
      <c r="CP58" s="9"/>
      <c r="CQ58" s="9"/>
      <c r="CR58" s="9"/>
      <c r="CS58" s="9"/>
    </row>
    <row r="59" spans="1:97" s="11" customFormat="1" ht="10.5" customHeight="1">
      <c r="A59" s="110">
        <v>269</v>
      </c>
      <c r="B59" s="111" t="s">
        <v>88</v>
      </c>
      <c r="C59" s="2">
        <f>50*1.4</f>
        <v>70</v>
      </c>
      <c r="D59" s="2"/>
      <c r="E59" s="2">
        <v>18</v>
      </c>
      <c r="F59" s="2"/>
      <c r="G59" s="2"/>
      <c r="H59" s="2"/>
      <c r="I59" s="2"/>
      <c r="J59" s="2"/>
      <c r="K59" s="2"/>
      <c r="L59" s="2"/>
      <c r="M59" s="2"/>
      <c r="N59" s="2">
        <f>(28+12)*1.4</f>
        <v>56</v>
      </c>
      <c r="O59" s="2"/>
      <c r="P59" s="2"/>
      <c r="Q59" s="2"/>
      <c r="R59" s="2">
        <f>10*1.4</f>
        <v>14</v>
      </c>
      <c r="S59" s="2"/>
      <c r="T59" s="2"/>
      <c r="U59" s="2"/>
      <c r="V59" s="2"/>
      <c r="W59" s="2"/>
      <c r="X59" s="2">
        <v>3</v>
      </c>
      <c r="Y59" s="2"/>
      <c r="Z59" s="2"/>
      <c r="AA59" s="2"/>
      <c r="AB59" s="2"/>
      <c r="AC59" s="2"/>
      <c r="AD59" s="2"/>
      <c r="AE59" s="2"/>
      <c r="AF59" s="2"/>
      <c r="AG59" s="2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  <c r="BM59" s="9"/>
      <c r="BN59" s="9"/>
      <c r="BO59" s="9"/>
      <c r="BP59" s="9"/>
      <c r="BQ59" s="9"/>
      <c r="BR59" s="9"/>
      <c r="BS59" s="9"/>
      <c r="BT59" s="9"/>
      <c r="BU59" s="9"/>
      <c r="BV59" s="9"/>
      <c r="BW59" s="9"/>
      <c r="BX59" s="9"/>
      <c r="BY59" s="9"/>
      <c r="BZ59" s="9"/>
      <c r="CA59" s="9"/>
      <c r="CB59" s="9"/>
      <c r="CC59" s="9"/>
      <c r="CD59" s="9"/>
      <c r="CE59" s="9"/>
      <c r="CF59" s="9"/>
      <c r="CG59" s="9"/>
      <c r="CH59" s="9"/>
      <c r="CI59" s="9"/>
      <c r="CJ59" s="9"/>
      <c r="CK59" s="9"/>
      <c r="CL59" s="9"/>
      <c r="CM59" s="9"/>
      <c r="CN59" s="9"/>
      <c r="CO59" s="9"/>
      <c r="CP59" s="9"/>
      <c r="CQ59" s="9"/>
      <c r="CR59" s="9"/>
      <c r="CS59" s="9"/>
    </row>
    <row r="60" spans="1:97" s="11" customFormat="1" ht="10.5" customHeight="1">
      <c r="A60" s="117" t="s">
        <v>70</v>
      </c>
      <c r="B60" s="115" t="s">
        <v>71</v>
      </c>
      <c r="C60" s="20">
        <v>160</v>
      </c>
      <c r="D60" s="2"/>
      <c r="E60" s="2"/>
      <c r="F60" s="2">
        <v>1.5</v>
      </c>
      <c r="G60" s="2"/>
      <c r="H60" s="2"/>
      <c r="I60" s="2">
        <v>50</v>
      </c>
      <c r="J60" s="2">
        <f>14+5+16+23+10</f>
        <v>68</v>
      </c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>
        <v>5</v>
      </c>
      <c r="X60" s="2"/>
      <c r="Y60" s="2"/>
      <c r="Z60" s="2"/>
      <c r="AA60" s="2"/>
      <c r="AB60" s="2"/>
      <c r="AC60" s="2"/>
      <c r="AD60" s="2"/>
      <c r="AE60" s="2"/>
      <c r="AF60" s="2"/>
      <c r="AG60" s="2">
        <v>0.3</v>
      </c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9"/>
      <c r="BG60" s="9"/>
      <c r="BH60" s="9"/>
      <c r="BI60" s="9"/>
      <c r="BJ60" s="9"/>
      <c r="BK60" s="9"/>
      <c r="BL60" s="9"/>
      <c r="BM60" s="9"/>
      <c r="BN60" s="9"/>
      <c r="BO60" s="9"/>
      <c r="BP60" s="9"/>
      <c r="BQ60" s="9"/>
      <c r="BR60" s="9"/>
      <c r="BS60" s="9"/>
      <c r="BT60" s="9"/>
      <c r="BU60" s="9"/>
      <c r="BV60" s="9"/>
      <c r="BW60" s="9"/>
      <c r="BX60" s="9"/>
      <c r="BY60" s="9"/>
      <c r="BZ60" s="9"/>
      <c r="CA60" s="9"/>
      <c r="CB60" s="9"/>
      <c r="CC60" s="9"/>
      <c r="CD60" s="9"/>
      <c r="CE60" s="9"/>
      <c r="CF60" s="9"/>
      <c r="CG60" s="9"/>
      <c r="CH60" s="9"/>
      <c r="CI60" s="9"/>
      <c r="CJ60" s="9"/>
      <c r="CK60" s="9"/>
      <c r="CL60" s="9"/>
      <c r="CM60" s="9"/>
      <c r="CN60" s="9"/>
      <c r="CO60" s="9"/>
      <c r="CP60" s="9"/>
      <c r="CQ60" s="9"/>
      <c r="CR60" s="9"/>
      <c r="CS60" s="9"/>
    </row>
    <row r="61" spans="1:97" s="11" customFormat="1" ht="10.5" customHeight="1">
      <c r="A61" s="110"/>
      <c r="B61" s="111" t="s">
        <v>90</v>
      </c>
      <c r="C61" s="2">
        <v>200</v>
      </c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>
        <v>10</v>
      </c>
      <c r="AA61" s="2"/>
      <c r="AB61" s="2">
        <v>0.4</v>
      </c>
      <c r="AC61" s="2"/>
      <c r="AD61" s="2"/>
      <c r="AE61" s="2"/>
      <c r="AF61" s="2"/>
      <c r="AG61" s="2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9"/>
      <c r="BF61" s="9"/>
      <c r="BG61" s="9"/>
      <c r="BH61" s="9"/>
      <c r="BI61" s="9"/>
      <c r="BJ61" s="9"/>
      <c r="BK61" s="9"/>
      <c r="BL61" s="9"/>
      <c r="BM61" s="9"/>
      <c r="BN61" s="9"/>
      <c r="BO61" s="9"/>
      <c r="BP61" s="9"/>
      <c r="BQ61" s="9"/>
      <c r="BR61" s="9"/>
      <c r="BS61" s="9"/>
      <c r="BT61" s="9"/>
      <c r="BU61" s="9"/>
      <c r="BV61" s="9"/>
      <c r="BW61" s="9"/>
      <c r="BX61" s="9"/>
      <c r="BY61" s="9"/>
      <c r="BZ61" s="9"/>
      <c r="CA61" s="9"/>
      <c r="CB61" s="9"/>
      <c r="CC61" s="9"/>
      <c r="CD61" s="9"/>
      <c r="CE61" s="9"/>
      <c r="CF61" s="9"/>
      <c r="CG61" s="9"/>
      <c r="CH61" s="9"/>
      <c r="CI61" s="9"/>
      <c r="CJ61" s="9"/>
      <c r="CK61" s="9"/>
      <c r="CL61" s="9"/>
      <c r="CM61" s="9"/>
      <c r="CN61" s="9"/>
      <c r="CO61" s="9"/>
      <c r="CP61" s="9"/>
      <c r="CQ61" s="9"/>
      <c r="CR61" s="9"/>
      <c r="CS61" s="9"/>
    </row>
    <row r="62" spans="1:97" s="11" customFormat="1" ht="10.5" customHeight="1">
      <c r="A62" s="110"/>
      <c r="B62" s="111" t="s">
        <v>128</v>
      </c>
      <c r="C62" s="2">
        <v>25</v>
      </c>
      <c r="D62" s="2">
        <v>25</v>
      </c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9"/>
      <c r="BL62" s="9"/>
      <c r="BM62" s="9"/>
      <c r="BN62" s="9"/>
      <c r="BO62" s="9"/>
      <c r="BP62" s="9"/>
      <c r="BQ62" s="9"/>
      <c r="BR62" s="9"/>
      <c r="BS62" s="9"/>
      <c r="BT62" s="9"/>
      <c r="BU62" s="9"/>
      <c r="BV62" s="9"/>
      <c r="BW62" s="9"/>
      <c r="BX62" s="9"/>
      <c r="BY62" s="9"/>
      <c r="BZ62" s="9"/>
      <c r="CA62" s="9"/>
      <c r="CB62" s="9"/>
      <c r="CC62" s="9"/>
      <c r="CD62" s="9"/>
      <c r="CE62" s="9"/>
      <c r="CF62" s="9"/>
      <c r="CG62" s="9"/>
      <c r="CH62" s="9"/>
      <c r="CI62" s="9"/>
      <c r="CJ62" s="9"/>
      <c r="CK62" s="9"/>
      <c r="CL62" s="9"/>
      <c r="CM62" s="9"/>
      <c r="CN62" s="9"/>
      <c r="CO62" s="9"/>
      <c r="CP62" s="9"/>
      <c r="CQ62" s="9"/>
      <c r="CR62" s="9"/>
      <c r="CS62" s="9"/>
    </row>
    <row r="63" spans="1:97" s="11" customFormat="1" ht="10.5" customHeight="1">
      <c r="A63" s="110"/>
      <c r="B63" s="111" t="s">
        <v>4</v>
      </c>
      <c r="C63" s="2">
        <v>25</v>
      </c>
      <c r="D63" s="2"/>
      <c r="E63" s="2">
        <v>25</v>
      </c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9"/>
      <c r="BN63" s="9"/>
      <c r="BO63" s="9"/>
      <c r="BP63" s="9"/>
      <c r="BQ63" s="9"/>
      <c r="BR63" s="9"/>
      <c r="BS63" s="9"/>
      <c r="BT63" s="9"/>
      <c r="BU63" s="9"/>
      <c r="BV63" s="9"/>
      <c r="BW63" s="9"/>
      <c r="BX63" s="9"/>
      <c r="BY63" s="9"/>
      <c r="BZ63" s="9"/>
      <c r="CA63" s="9"/>
      <c r="CB63" s="9"/>
      <c r="CC63" s="9"/>
      <c r="CD63" s="9"/>
      <c r="CE63" s="9"/>
      <c r="CF63" s="9"/>
      <c r="CG63" s="9"/>
      <c r="CH63" s="9"/>
      <c r="CI63" s="9"/>
      <c r="CJ63" s="9"/>
      <c r="CK63" s="9"/>
      <c r="CL63" s="9"/>
      <c r="CM63" s="9"/>
      <c r="CN63" s="9"/>
      <c r="CO63" s="9"/>
      <c r="CP63" s="9"/>
      <c r="CQ63" s="9"/>
      <c r="CR63" s="9"/>
      <c r="CS63" s="9"/>
    </row>
    <row r="64" spans="1:97" s="11" customFormat="1" ht="10.5" customHeight="1">
      <c r="A64" s="110"/>
      <c r="B64" s="111" t="s">
        <v>137</v>
      </c>
      <c r="C64" s="2">
        <v>200</v>
      </c>
      <c r="D64" s="2"/>
      <c r="E64" s="2"/>
      <c r="F64" s="2"/>
      <c r="G64" s="2"/>
      <c r="H64" s="2"/>
      <c r="I64" s="2"/>
      <c r="J64" s="2"/>
      <c r="K64" s="2"/>
      <c r="L64" s="2"/>
      <c r="M64" s="2">
        <v>200</v>
      </c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  <c r="BE64" s="9"/>
      <c r="BF64" s="9"/>
      <c r="BG64" s="9"/>
      <c r="BH64" s="9"/>
      <c r="BI64" s="9"/>
      <c r="BJ64" s="9"/>
      <c r="BK64" s="9"/>
      <c r="BL64" s="9"/>
      <c r="BM64" s="9"/>
      <c r="BN64" s="9"/>
      <c r="BO64" s="9"/>
      <c r="BP64" s="9"/>
      <c r="BQ64" s="9"/>
      <c r="BR64" s="9"/>
      <c r="BS64" s="9"/>
      <c r="BT64" s="9"/>
      <c r="BU64" s="9"/>
      <c r="BV64" s="9"/>
      <c r="BW64" s="9"/>
      <c r="BX64" s="9"/>
      <c r="BY64" s="9"/>
      <c r="BZ64" s="9"/>
      <c r="CA64" s="9"/>
      <c r="CB64" s="9"/>
      <c r="CC64" s="9"/>
      <c r="CD64" s="9"/>
      <c r="CE64" s="9"/>
      <c r="CF64" s="9"/>
      <c r="CG64" s="9"/>
      <c r="CH64" s="9"/>
      <c r="CI64" s="9"/>
      <c r="CJ64" s="9"/>
      <c r="CK64" s="9"/>
      <c r="CL64" s="9"/>
      <c r="CM64" s="9"/>
      <c r="CN64" s="9"/>
      <c r="CO64" s="9"/>
      <c r="CP64" s="9"/>
      <c r="CQ64" s="9"/>
      <c r="CR64" s="9"/>
      <c r="CS64" s="9"/>
    </row>
    <row r="65" spans="1:97" s="11" customFormat="1" ht="10.5" customHeight="1">
      <c r="A65" s="74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  <c r="CH65" s="9"/>
      <c r="CI65" s="9"/>
      <c r="CJ65" s="9"/>
      <c r="CK65" s="9"/>
      <c r="CL65" s="9"/>
      <c r="CM65" s="9"/>
      <c r="CN65" s="9"/>
      <c r="CO65" s="9"/>
      <c r="CP65" s="9"/>
      <c r="CQ65" s="9"/>
      <c r="CR65" s="9"/>
      <c r="CS65" s="9"/>
    </row>
    <row r="66" spans="1:97" s="16" customFormat="1" ht="10.5" customHeight="1">
      <c r="A66" s="77"/>
      <c r="B66" s="13" t="s">
        <v>157</v>
      </c>
      <c r="C66" s="14">
        <f t="shared" ref="C66:AF66" si="7">SUM(C58:C65)</f>
        <v>740</v>
      </c>
      <c r="D66" s="14">
        <f t="shared" si="7"/>
        <v>25</v>
      </c>
      <c r="E66" s="14">
        <f t="shared" si="7"/>
        <v>43</v>
      </c>
      <c r="F66" s="14">
        <f t="shared" si="7"/>
        <v>1.5</v>
      </c>
      <c r="G66" s="14">
        <f t="shared" si="7"/>
        <v>0</v>
      </c>
      <c r="H66" s="14">
        <f t="shared" si="7"/>
        <v>0</v>
      </c>
      <c r="I66" s="14">
        <f t="shared" si="7"/>
        <v>50</v>
      </c>
      <c r="J66" s="14">
        <f t="shared" si="7"/>
        <v>128</v>
      </c>
      <c r="K66" s="14">
        <f t="shared" si="7"/>
        <v>0</v>
      </c>
      <c r="L66" s="14">
        <f t="shared" si="7"/>
        <v>0</v>
      </c>
      <c r="M66" s="14">
        <f t="shared" si="7"/>
        <v>200</v>
      </c>
      <c r="N66" s="14">
        <f t="shared" si="7"/>
        <v>56</v>
      </c>
      <c r="O66" s="14">
        <f t="shared" si="7"/>
        <v>0</v>
      </c>
      <c r="P66" s="14">
        <f t="shared" si="7"/>
        <v>0</v>
      </c>
      <c r="Q66" s="14">
        <f t="shared" si="7"/>
        <v>0</v>
      </c>
      <c r="R66" s="14">
        <f t="shared" si="7"/>
        <v>14</v>
      </c>
      <c r="S66" s="14">
        <f t="shared" si="7"/>
        <v>0</v>
      </c>
      <c r="T66" s="14">
        <f t="shared" si="7"/>
        <v>0</v>
      </c>
      <c r="U66" s="14">
        <f t="shared" si="7"/>
        <v>0</v>
      </c>
      <c r="V66" s="14">
        <f t="shared" si="7"/>
        <v>0</v>
      </c>
      <c r="W66" s="14">
        <f t="shared" si="7"/>
        <v>5</v>
      </c>
      <c r="X66" s="14">
        <f t="shared" si="7"/>
        <v>3</v>
      </c>
      <c r="Y66" s="14">
        <f t="shared" si="7"/>
        <v>0</v>
      </c>
      <c r="Z66" s="14">
        <f t="shared" si="7"/>
        <v>10</v>
      </c>
      <c r="AA66" s="14">
        <f t="shared" si="7"/>
        <v>0</v>
      </c>
      <c r="AB66" s="14">
        <f t="shared" si="7"/>
        <v>0.4</v>
      </c>
      <c r="AC66" s="14">
        <f t="shared" si="7"/>
        <v>0</v>
      </c>
      <c r="AD66" s="14">
        <f t="shared" si="7"/>
        <v>0</v>
      </c>
      <c r="AE66" s="14">
        <f t="shared" si="7"/>
        <v>0</v>
      </c>
      <c r="AF66" s="14">
        <f t="shared" si="7"/>
        <v>0</v>
      </c>
      <c r="AG66" s="14">
        <f>SUM(AG59:AG64)</f>
        <v>0.3</v>
      </c>
      <c r="AH66" s="24">
        <f>SUM(AH59:AH64)</f>
        <v>0</v>
      </c>
      <c r="AI66" s="15"/>
      <c r="AJ66" s="15"/>
      <c r="AK66" s="15"/>
      <c r="AL66" s="15"/>
      <c r="AM66" s="15"/>
      <c r="AN66" s="15"/>
      <c r="AO66" s="15"/>
      <c r="AP66" s="15"/>
      <c r="AQ66" s="15"/>
      <c r="AR66" s="15"/>
      <c r="AS66" s="15"/>
      <c r="AT66" s="15"/>
      <c r="AU66" s="15"/>
      <c r="AV66" s="15"/>
      <c r="AW66" s="15"/>
      <c r="AX66" s="15"/>
      <c r="AY66" s="15"/>
      <c r="AZ66" s="15"/>
      <c r="BA66" s="15"/>
      <c r="BB66" s="15"/>
      <c r="BC66" s="15"/>
      <c r="BD66" s="15"/>
      <c r="BE66" s="15"/>
      <c r="BF66" s="15"/>
      <c r="BG66" s="15"/>
      <c r="BH66" s="15"/>
      <c r="BI66" s="15"/>
      <c r="BJ66" s="15"/>
      <c r="BK66" s="15"/>
      <c r="BL66" s="15"/>
      <c r="BM66" s="15"/>
      <c r="BN66" s="15"/>
      <c r="BO66" s="15"/>
      <c r="BP66" s="15"/>
      <c r="BQ66" s="15"/>
      <c r="BR66" s="15"/>
      <c r="BS66" s="15"/>
      <c r="BT66" s="15"/>
      <c r="BU66" s="15"/>
      <c r="BV66" s="15"/>
      <c r="BW66" s="15"/>
      <c r="BX66" s="15"/>
      <c r="BY66" s="15"/>
      <c r="BZ66" s="15"/>
      <c r="CA66" s="15"/>
      <c r="CB66" s="15"/>
      <c r="CC66" s="15"/>
      <c r="CD66" s="15"/>
      <c r="CE66" s="15"/>
      <c r="CF66" s="15"/>
      <c r="CG66" s="15"/>
      <c r="CH66" s="15"/>
      <c r="CI66" s="15"/>
      <c r="CJ66" s="15"/>
      <c r="CK66" s="15"/>
      <c r="CL66" s="15"/>
      <c r="CM66" s="15"/>
      <c r="CN66" s="15"/>
      <c r="CO66" s="15"/>
      <c r="CP66" s="15"/>
      <c r="CQ66" s="15"/>
      <c r="CR66" s="15"/>
      <c r="CS66" s="15"/>
    </row>
    <row r="67" spans="1:97" s="11" customFormat="1" ht="10.5" customHeight="1">
      <c r="A67" s="74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9"/>
      <c r="BU67" s="9"/>
      <c r="BV67" s="9"/>
      <c r="BW67" s="9"/>
      <c r="BX67" s="9"/>
      <c r="BY67" s="9"/>
      <c r="BZ67" s="9"/>
      <c r="CA67" s="9"/>
      <c r="CB67" s="9"/>
      <c r="CC67" s="9"/>
      <c r="CD67" s="9"/>
      <c r="CE67" s="9"/>
      <c r="CF67" s="9"/>
      <c r="CG67" s="9"/>
      <c r="CH67" s="9"/>
      <c r="CI67" s="9"/>
      <c r="CJ67" s="9"/>
      <c r="CK67" s="9"/>
      <c r="CL67" s="9"/>
      <c r="CM67" s="9"/>
      <c r="CN67" s="9"/>
      <c r="CO67" s="9"/>
      <c r="CP67" s="9"/>
      <c r="CQ67" s="9"/>
      <c r="CR67" s="9"/>
      <c r="CS67" s="9"/>
    </row>
    <row r="68" spans="1:97" s="25" customFormat="1" ht="10.5" customHeight="1">
      <c r="A68" s="189" t="s">
        <v>115</v>
      </c>
      <c r="B68" s="190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15"/>
      <c r="AI68" s="15"/>
      <c r="AJ68" s="15"/>
      <c r="AK68" s="15"/>
      <c r="AL68" s="15"/>
      <c r="AM68" s="15"/>
      <c r="AN68" s="15"/>
      <c r="AO68" s="15"/>
      <c r="AP68" s="15"/>
      <c r="AQ68" s="15"/>
      <c r="AR68" s="15"/>
      <c r="AS68" s="15"/>
      <c r="AT68" s="15"/>
      <c r="AU68" s="15"/>
      <c r="AV68" s="15"/>
      <c r="AW68" s="15"/>
      <c r="AX68" s="15"/>
      <c r="AY68" s="15"/>
      <c r="AZ68" s="15"/>
      <c r="BA68" s="15"/>
      <c r="BB68" s="15"/>
      <c r="BC68" s="15"/>
      <c r="BD68" s="15"/>
      <c r="BE68" s="15"/>
      <c r="BF68" s="15"/>
      <c r="BG68" s="15"/>
      <c r="BH68" s="15"/>
      <c r="BI68" s="15"/>
      <c r="BJ68" s="15"/>
      <c r="BK68" s="15"/>
      <c r="BL68" s="15"/>
      <c r="BM68" s="15"/>
      <c r="BN68" s="15"/>
      <c r="BO68" s="15"/>
      <c r="BP68" s="15"/>
      <c r="BQ68" s="15"/>
      <c r="BR68" s="15"/>
      <c r="BS68" s="15"/>
      <c r="BT68" s="15"/>
      <c r="BU68" s="15"/>
      <c r="BV68" s="15"/>
      <c r="BW68" s="15"/>
      <c r="BX68" s="15"/>
      <c r="BY68" s="15"/>
      <c r="BZ68" s="15"/>
      <c r="CA68" s="15"/>
      <c r="CB68" s="15"/>
      <c r="CC68" s="15"/>
      <c r="CD68" s="15"/>
      <c r="CE68" s="15"/>
      <c r="CF68" s="15"/>
      <c r="CG68" s="15"/>
      <c r="CH68" s="15"/>
      <c r="CI68" s="15"/>
      <c r="CJ68" s="15"/>
      <c r="CK68" s="15"/>
      <c r="CL68" s="15"/>
      <c r="CM68" s="15"/>
      <c r="CN68" s="15"/>
      <c r="CO68" s="15"/>
      <c r="CP68" s="15"/>
      <c r="CQ68" s="15"/>
      <c r="CR68" s="15"/>
      <c r="CS68" s="15"/>
    </row>
    <row r="69" spans="1:97" s="11" customFormat="1" ht="10.5" customHeight="1">
      <c r="A69" s="110"/>
      <c r="B69" s="111" t="s">
        <v>129</v>
      </c>
      <c r="C69" s="2">
        <v>70</v>
      </c>
      <c r="D69" s="2"/>
      <c r="E69" s="2"/>
      <c r="F69" s="2"/>
      <c r="G69" s="2"/>
      <c r="H69" s="2"/>
      <c r="I69" s="2"/>
      <c r="J69" s="2">
        <v>70</v>
      </c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9"/>
      <c r="BG69" s="9"/>
      <c r="BH69" s="9"/>
      <c r="BI69" s="9"/>
      <c r="BJ69" s="9"/>
      <c r="BK69" s="9"/>
      <c r="BL69" s="9"/>
      <c r="BM69" s="9"/>
      <c r="BN69" s="9"/>
      <c r="BO69" s="9"/>
      <c r="BP69" s="9"/>
      <c r="BQ69" s="9"/>
      <c r="BR69" s="9"/>
      <c r="BS69" s="9"/>
      <c r="BT69" s="9"/>
      <c r="BU69" s="9"/>
      <c r="BV69" s="9"/>
      <c r="BW69" s="9"/>
      <c r="BX69" s="9"/>
      <c r="BY69" s="9"/>
      <c r="BZ69" s="9"/>
      <c r="CA69" s="9"/>
      <c r="CB69" s="9"/>
      <c r="CC69" s="9"/>
      <c r="CD69" s="9"/>
      <c r="CE69" s="9"/>
      <c r="CF69" s="9"/>
      <c r="CG69" s="9"/>
      <c r="CH69" s="9"/>
      <c r="CI69" s="9"/>
      <c r="CJ69" s="9"/>
      <c r="CK69" s="9"/>
      <c r="CL69" s="9"/>
      <c r="CM69" s="9"/>
      <c r="CN69" s="9"/>
      <c r="CO69" s="9"/>
      <c r="CP69" s="9"/>
      <c r="CQ69" s="9"/>
      <c r="CR69" s="9"/>
      <c r="CS69" s="9"/>
    </row>
    <row r="70" spans="1:97" s="11" customFormat="1" ht="10.5" customHeight="1">
      <c r="A70" s="110">
        <v>235</v>
      </c>
      <c r="B70" s="111" t="s">
        <v>85</v>
      </c>
      <c r="C70" s="2">
        <v>75</v>
      </c>
      <c r="D70" s="2"/>
      <c r="E70" s="2">
        <f>6*1.5</f>
        <v>9</v>
      </c>
      <c r="F70" s="2"/>
      <c r="G70" s="2"/>
      <c r="H70" s="2"/>
      <c r="I70" s="2"/>
      <c r="J70" s="2">
        <f>(9+1)*1.5</f>
        <v>15</v>
      </c>
      <c r="K70" s="2"/>
      <c r="L70" s="2"/>
      <c r="M70" s="2"/>
      <c r="N70" s="2"/>
      <c r="O70" s="2"/>
      <c r="P70" s="2"/>
      <c r="Q70" s="2">
        <f>43*1.5</f>
        <v>64.5</v>
      </c>
      <c r="R70" s="2"/>
      <c r="S70" s="2"/>
      <c r="T70" s="2"/>
      <c r="U70" s="2"/>
      <c r="V70" s="2"/>
      <c r="W70" s="2"/>
      <c r="X70" s="2">
        <v>6</v>
      </c>
      <c r="Y70" s="2">
        <f>2*1.5</f>
        <v>3</v>
      </c>
      <c r="Z70" s="2"/>
      <c r="AA70" s="2"/>
      <c r="AB70" s="2"/>
      <c r="AC70" s="2"/>
      <c r="AD70" s="2"/>
      <c r="AE70" s="2"/>
      <c r="AF70" s="2"/>
      <c r="AG70" s="2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9"/>
      <c r="BH70" s="9"/>
      <c r="BI70" s="9"/>
      <c r="BJ70" s="9"/>
      <c r="BK70" s="9"/>
      <c r="BL70" s="9"/>
      <c r="BM70" s="9"/>
      <c r="BN70" s="9"/>
      <c r="BO70" s="9"/>
      <c r="BP70" s="9"/>
      <c r="BQ70" s="9"/>
      <c r="BR70" s="9"/>
      <c r="BS70" s="9"/>
      <c r="BT70" s="9"/>
      <c r="BU70" s="9"/>
      <c r="BV70" s="9"/>
      <c r="BW70" s="9"/>
      <c r="BX70" s="9"/>
      <c r="BY70" s="9"/>
      <c r="BZ70" s="9"/>
      <c r="CA70" s="9"/>
      <c r="CB70" s="9"/>
      <c r="CC70" s="9"/>
      <c r="CD70" s="9"/>
      <c r="CE70" s="9"/>
      <c r="CF70" s="9"/>
      <c r="CG70" s="9"/>
      <c r="CH70" s="9"/>
      <c r="CI70" s="9"/>
      <c r="CJ70" s="9"/>
      <c r="CK70" s="9"/>
      <c r="CL70" s="9"/>
      <c r="CM70" s="9"/>
      <c r="CN70" s="9"/>
      <c r="CO70" s="9"/>
      <c r="CP70" s="9"/>
      <c r="CQ70" s="9"/>
      <c r="CR70" s="9"/>
      <c r="CS70" s="9"/>
    </row>
    <row r="71" spans="1:97" s="11" customFormat="1" ht="10.5" customHeight="1">
      <c r="A71" s="110">
        <v>310</v>
      </c>
      <c r="B71" s="111" t="s">
        <v>84</v>
      </c>
      <c r="C71" s="2">
        <v>170</v>
      </c>
      <c r="D71" s="2"/>
      <c r="E71" s="2"/>
      <c r="F71" s="2"/>
      <c r="G71" s="2"/>
      <c r="H71" s="2"/>
      <c r="I71" s="2">
        <v>170</v>
      </c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>
        <v>6</v>
      </c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  <c r="BD71" s="9"/>
      <c r="BE71" s="9"/>
      <c r="BF71" s="9"/>
      <c r="BG71" s="9"/>
      <c r="BH71" s="9"/>
      <c r="BI71" s="9"/>
      <c r="BJ71" s="9"/>
      <c r="BK71" s="9"/>
      <c r="BL71" s="9"/>
      <c r="BM71" s="9"/>
      <c r="BN71" s="9"/>
      <c r="BO71" s="9"/>
      <c r="BP71" s="9"/>
      <c r="BQ71" s="9"/>
      <c r="BR71" s="9"/>
      <c r="BS71" s="9"/>
      <c r="BT71" s="9"/>
      <c r="BU71" s="9"/>
      <c r="BV71" s="9"/>
      <c r="BW71" s="9"/>
      <c r="BX71" s="9"/>
      <c r="BY71" s="9"/>
      <c r="BZ71" s="9"/>
      <c r="CA71" s="9"/>
      <c r="CB71" s="9"/>
      <c r="CC71" s="9"/>
      <c r="CD71" s="9"/>
      <c r="CE71" s="9"/>
      <c r="CF71" s="9"/>
      <c r="CG71" s="9"/>
      <c r="CH71" s="9"/>
      <c r="CI71" s="9"/>
      <c r="CJ71" s="9"/>
      <c r="CK71" s="9"/>
      <c r="CL71" s="9"/>
      <c r="CM71" s="9"/>
      <c r="CN71" s="9"/>
      <c r="CO71" s="9"/>
      <c r="CP71" s="9"/>
      <c r="CQ71" s="9"/>
      <c r="CR71" s="9"/>
      <c r="CS71" s="9"/>
    </row>
    <row r="72" spans="1:97" s="11" customFormat="1" ht="10.5" customHeight="1">
      <c r="A72" s="110" t="s">
        <v>39</v>
      </c>
      <c r="B72" s="111" t="s">
        <v>89</v>
      </c>
      <c r="C72" s="2">
        <v>200</v>
      </c>
      <c r="D72" s="2"/>
      <c r="E72" s="2"/>
      <c r="F72" s="2"/>
      <c r="G72" s="2"/>
      <c r="H72" s="2"/>
      <c r="I72" s="2"/>
      <c r="J72" s="2"/>
      <c r="K72" s="2"/>
      <c r="L72" s="2">
        <v>20</v>
      </c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>
        <v>5</v>
      </c>
      <c r="AA72" s="2"/>
      <c r="AB72" s="2"/>
      <c r="AC72" s="2"/>
      <c r="AD72" s="2"/>
      <c r="AE72" s="2"/>
      <c r="AF72" s="2"/>
      <c r="AG72" s="2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9"/>
      <c r="BB72" s="9"/>
      <c r="BC72" s="9"/>
      <c r="BD72" s="9"/>
      <c r="BE72" s="9"/>
      <c r="BF72" s="9"/>
      <c r="BG72" s="9"/>
      <c r="BH72" s="9"/>
      <c r="BI72" s="9"/>
      <c r="BJ72" s="9"/>
      <c r="BK72" s="9"/>
      <c r="BL72" s="9"/>
      <c r="BM72" s="9"/>
      <c r="BN72" s="9"/>
      <c r="BO72" s="9"/>
      <c r="BP72" s="9"/>
      <c r="BQ72" s="9"/>
      <c r="BR72" s="9"/>
      <c r="BS72" s="9"/>
      <c r="BT72" s="9"/>
      <c r="BU72" s="9"/>
      <c r="BV72" s="9"/>
      <c r="BW72" s="9"/>
      <c r="BX72" s="9"/>
      <c r="BY72" s="9"/>
      <c r="BZ72" s="9"/>
      <c r="CA72" s="9"/>
      <c r="CB72" s="9"/>
      <c r="CC72" s="9"/>
      <c r="CD72" s="9"/>
      <c r="CE72" s="9"/>
      <c r="CF72" s="9"/>
      <c r="CG72" s="9"/>
      <c r="CH72" s="9"/>
      <c r="CI72" s="9"/>
      <c r="CJ72" s="9"/>
      <c r="CK72" s="9"/>
      <c r="CL72" s="9"/>
      <c r="CM72" s="9"/>
      <c r="CN72" s="9"/>
      <c r="CO72" s="9"/>
      <c r="CP72" s="9"/>
      <c r="CQ72" s="9"/>
      <c r="CR72" s="9"/>
      <c r="CS72" s="9"/>
    </row>
    <row r="73" spans="1:97" s="11" customFormat="1" ht="10.5" customHeight="1">
      <c r="A73" s="110"/>
      <c r="B73" s="111" t="s">
        <v>4</v>
      </c>
      <c r="C73" s="2">
        <v>40</v>
      </c>
      <c r="D73" s="2"/>
      <c r="E73" s="2">
        <v>40</v>
      </c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  <c r="BH73" s="9"/>
      <c r="BI73" s="9"/>
      <c r="BJ73" s="9"/>
      <c r="BK73" s="9"/>
      <c r="BL73" s="9"/>
      <c r="BM73" s="9"/>
      <c r="BN73" s="9"/>
      <c r="BO73" s="9"/>
      <c r="BP73" s="9"/>
      <c r="BQ73" s="9"/>
      <c r="BR73" s="9"/>
      <c r="BS73" s="9"/>
      <c r="BT73" s="9"/>
      <c r="BU73" s="9"/>
      <c r="BV73" s="9"/>
      <c r="BW73" s="9"/>
      <c r="BX73" s="9"/>
      <c r="BY73" s="9"/>
      <c r="BZ73" s="9"/>
      <c r="CA73" s="9"/>
      <c r="CB73" s="9"/>
      <c r="CC73" s="9"/>
      <c r="CD73" s="9"/>
      <c r="CE73" s="9"/>
      <c r="CF73" s="9"/>
      <c r="CG73" s="9"/>
      <c r="CH73" s="9"/>
      <c r="CI73" s="9"/>
      <c r="CJ73" s="9"/>
      <c r="CK73" s="9"/>
      <c r="CL73" s="9"/>
      <c r="CM73" s="9"/>
      <c r="CN73" s="9"/>
      <c r="CO73" s="9"/>
      <c r="CP73" s="9"/>
      <c r="CQ73" s="9"/>
      <c r="CR73" s="9"/>
      <c r="CS73" s="9"/>
    </row>
    <row r="74" spans="1:97" s="11" customFormat="1" ht="10.5" customHeight="1">
      <c r="A74" s="110"/>
      <c r="B74" s="111" t="s">
        <v>128</v>
      </c>
      <c r="C74" s="2">
        <v>25</v>
      </c>
      <c r="D74" s="2">
        <v>25</v>
      </c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9"/>
      <c r="BH74" s="9"/>
      <c r="BI74" s="9"/>
      <c r="BJ74" s="9"/>
      <c r="BK74" s="9"/>
      <c r="BL74" s="9"/>
      <c r="BM74" s="9"/>
      <c r="BN74" s="9"/>
      <c r="BO74" s="9"/>
      <c r="BP74" s="9"/>
      <c r="BQ74" s="9"/>
      <c r="BR74" s="9"/>
      <c r="BS74" s="9"/>
      <c r="BT74" s="9"/>
      <c r="BU74" s="9"/>
      <c r="BV74" s="9"/>
      <c r="BW74" s="9"/>
      <c r="BX74" s="9"/>
      <c r="BY74" s="9"/>
      <c r="BZ74" s="9"/>
      <c r="CA74" s="9"/>
      <c r="CB74" s="9"/>
      <c r="CC74" s="9"/>
      <c r="CD74" s="9"/>
      <c r="CE74" s="9"/>
      <c r="CF74" s="9"/>
      <c r="CG74" s="9"/>
      <c r="CH74" s="9"/>
      <c r="CI74" s="9"/>
      <c r="CJ74" s="9"/>
      <c r="CK74" s="9"/>
      <c r="CL74" s="9"/>
      <c r="CM74" s="9"/>
      <c r="CN74" s="9"/>
      <c r="CO74" s="9"/>
      <c r="CP74" s="9"/>
      <c r="CQ74" s="9"/>
      <c r="CR74" s="9"/>
      <c r="CS74" s="9"/>
    </row>
    <row r="75" spans="1:97" s="11" customFormat="1" ht="10.5" customHeight="1">
      <c r="A75" s="110"/>
      <c r="B75" s="111" t="s">
        <v>135</v>
      </c>
      <c r="C75" s="2">
        <v>150</v>
      </c>
      <c r="D75" s="2"/>
      <c r="E75" s="2"/>
      <c r="F75" s="2"/>
      <c r="G75" s="2"/>
      <c r="H75" s="2"/>
      <c r="I75" s="2"/>
      <c r="J75" s="2"/>
      <c r="K75" s="2"/>
      <c r="L75" s="2"/>
      <c r="M75" s="2">
        <v>150</v>
      </c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  <c r="BB75" s="9"/>
      <c r="BC75" s="9"/>
      <c r="BD75" s="9"/>
      <c r="BE75" s="9"/>
      <c r="BF75" s="9"/>
      <c r="BG75" s="9"/>
      <c r="BH75" s="9"/>
      <c r="BI75" s="9"/>
      <c r="BJ75" s="9"/>
      <c r="BK75" s="9"/>
      <c r="BL75" s="9"/>
      <c r="BM75" s="9"/>
      <c r="BN75" s="9"/>
      <c r="BO75" s="9"/>
      <c r="BP75" s="9"/>
      <c r="BQ75" s="9"/>
      <c r="BR75" s="9"/>
      <c r="BS75" s="9"/>
      <c r="BT75" s="9"/>
      <c r="BU75" s="9"/>
      <c r="BV75" s="9"/>
      <c r="BW75" s="9"/>
      <c r="BX75" s="9"/>
      <c r="BY75" s="9"/>
      <c r="BZ75" s="9"/>
      <c r="CA75" s="9"/>
      <c r="CB75" s="9"/>
      <c r="CC75" s="9"/>
      <c r="CD75" s="9"/>
      <c r="CE75" s="9"/>
      <c r="CF75" s="9"/>
      <c r="CG75" s="9"/>
      <c r="CH75" s="9"/>
      <c r="CI75" s="9"/>
      <c r="CJ75" s="9"/>
      <c r="CK75" s="9"/>
      <c r="CL75" s="9"/>
      <c r="CM75" s="9"/>
      <c r="CN75" s="9"/>
      <c r="CO75" s="9"/>
      <c r="CP75" s="9"/>
      <c r="CQ75" s="9"/>
      <c r="CR75" s="9"/>
      <c r="CS75" s="9"/>
    </row>
    <row r="76" spans="1:97" ht="10.5" customHeight="1">
      <c r="A76" s="75"/>
      <c r="B76" s="9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</row>
    <row r="77" spans="1:97" s="16" customFormat="1" ht="10.5" customHeight="1">
      <c r="A77" s="77"/>
      <c r="B77" s="13" t="s">
        <v>157</v>
      </c>
      <c r="C77" s="14">
        <f t="shared" ref="C77:AG77" si="8">SUM(C69:C76)</f>
        <v>730</v>
      </c>
      <c r="D77" s="14">
        <f t="shared" si="8"/>
        <v>25</v>
      </c>
      <c r="E77" s="14">
        <f t="shared" si="8"/>
        <v>49</v>
      </c>
      <c r="F77" s="14">
        <f t="shared" si="8"/>
        <v>0</v>
      </c>
      <c r="G77" s="14">
        <f t="shared" si="8"/>
        <v>0</v>
      </c>
      <c r="H77" s="14">
        <f t="shared" si="8"/>
        <v>0</v>
      </c>
      <c r="I77" s="14">
        <f t="shared" si="8"/>
        <v>170</v>
      </c>
      <c r="J77" s="14">
        <f t="shared" si="8"/>
        <v>85</v>
      </c>
      <c r="K77" s="14">
        <f t="shared" si="8"/>
        <v>0</v>
      </c>
      <c r="L77" s="14">
        <f t="shared" si="8"/>
        <v>20</v>
      </c>
      <c r="M77" s="14">
        <f t="shared" si="8"/>
        <v>150</v>
      </c>
      <c r="N77" s="14">
        <f t="shared" si="8"/>
        <v>0</v>
      </c>
      <c r="O77" s="14">
        <f t="shared" si="8"/>
        <v>0</v>
      </c>
      <c r="P77" s="14">
        <f t="shared" si="8"/>
        <v>0</v>
      </c>
      <c r="Q77" s="14">
        <f t="shared" si="8"/>
        <v>64.5</v>
      </c>
      <c r="R77" s="14">
        <f t="shared" si="8"/>
        <v>0</v>
      </c>
      <c r="S77" s="14">
        <f t="shared" si="8"/>
        <v>0</v>
      </c>
      <c r="T77" s="14">
        <f t="shared" si="8"/>
        <v>0</v>
      </c>
      <c r="U77" s="14">
        <f t="shared" si="8"/>
        <v>0</v>
      </c>
      <c r="V77" s="14">
        <f t="shared" si="8"/>
        <v>0</v>
      </c>
      <c r="W77" s="14">
        <f t="shared" si="8"/>
        <v>6</v>
      </c>
      <c r="X77" s="14">
        <f t="shared" si="8"/>
        <v>6</v>
      </c>
      <c r="Y77" s="14">
        <f t="shared" si="8"/>
        <v>3</v>
      </c>
      <c r="Z77" s="14">
        <f t="shared" si="8"/>
        <v>5</v>
      </c>
      <c r="AA77" s="14">
        <f t="shared" si="8"/>
        <v>0</v>
      </c>
      <c r="AB77" s="14">
        <f t="shared" si="8"/>
        <v>0</v>
      </c>
      <c r="AC77" s="14">
        <f t="shared" si="8"/>
        <v>0</v>
      </c>
      <c r="AD77" s="14">
        <f t="shared" si="8"/>
        <v>0</v>
      </c>
      <c r="AE77" s="14">
        <f t="shared" si="8"/>
        <v>0</v>
      </c>
      <c r="AF77" s="14">
        <f t="shared" si="8"/>
        <v>0</v>
      </c>
      <c r="AG77" s="14">
        <f t="shared" si="8"/>
        <v>0</v>
      </c>
      <c r="AH77" s="15"/>
      <c r="AI77" s="15"/>
      <c r="AJ77" s="15"/>
      <c r="AK77" s="15"/>
      <c r="AL77" s="15"/>
      <c r="AM77" s="15"/>
      <c r="AN77" s="15"/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  <c r="BH77" s="15"/>
      <c r="BI77" s="15"/>
      <c r="BJ77" s="15"/>
      <c r="BK77" s="15"/>
      <c r="BL77" s="15"/>
      <c r="BM77" s="15"/>
      <c r="BN77" s="15"/>
      <c r="BO77" s="15"/>
      <c r="BP77" s="15"/>
      <c r="BQ77" s="15"/>
      <c r="BR77" s="15"/>
      <c r="BS77" s="15"/>
      <c r="BT77" s="15"/>
      <c r="BU77" s="15"/>
      <c r="BV77" s="15"/>
      <c r="BW77" s="15"/>
      <c r="BX77" s="15"/>
      <c r="BY77" s="15"/>
      <c r="BZ77" s="15"/>
      <c r="CA77" s="15"/>
      <c r="CB77" s="15"/>
      <c r="CC77" s="15"/>
      <c r="CD77" s="15"/>
      <c r="CE77" s="15"/>
      <c r="CF77" s="15"/>
      <c r="CG77" s="15"/>
      <c r="CH77" s="15"/>
      <c r="CI77" s="15"/>
      <c r="CJ77" s="15"/>
      <c r="CK77" s="15"/>
      <c r="CL77" s="15"/>
      <c r="CM77" s="15"/>
      <c r="CN77" s="15"/>
      <c r="CO77" s="15"/>
      <c r="CP77" s="15"/>
      <c r="CQ77" s="15"/>
      <c r="CR77" s="15"/>
      <c r="CS77" s="15"/>
    </row>
    <row r="78" spans="1:97" ht="10.5" customHeight="1">
      <c r="A78" s="76"/>
      <c r="B78" s="26"/>
    </row>
    <row r="79" spans="1:97" s="10" customFormat="1" ht="10.5" customHeight="1">
      <c r="A79" s="189" t="s">
        <v>116</v>
      </c>
      <c r="B79" s="190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9"/>
      <c r="BN79" s="9"/>
      <c r="BO79" s="9"/>
      <c r="BP79" s="9"/>
      <c r="BQ79" s="9"/>
      <c r="BR79" s="9"/>
      <c r="BS79" s="9"/>
      <c r="BT79" s="9"/>
      <c r="BU79" s="9"/>
      <c r="BV79" s="9"/>
      <c r="BW79" s="9"/>
      <c r="BX79" s="9"/>
      <c r="BY79" s="9"/>
      <c r="BZ79" s="9"/>
      <c r="CA79" s="9"/>
      <c r="CB79" s="9"/>
      <c r="CC79" s="9"/>
      <c r="CD79" s="9"/>
      <c r="CE79" s="9"/>
      <c r="CF79" s="9"/>
      <c r="CG79" s="9"/>
      <c r="CH79" s="9"/>
      <c r="CI79" s="9"/>
      <c r="CJ79" s="9"/>
      <c r="CK79" s="9"/>
      <c r="CL79" s="9"/>
      <c r="CM79" s="9"/>
      <c r="CN79" s="9"/>
      <c r="CO79" s="9"/>
      <c r="CP79" s="9"/>
      <c r="CQ79" s="9"/>
      <c r="CR79" s="9"/>
      <c r="CS79" s="9"/>
    </row>
    <row r="80" spans="1:97" s="11" customFormat="1" ht="10.5" customHeight="1">
      <c r="A80" s="110"/>
      <c r="B80" s="111" t="s">
        <v>131</v>
      </c>
      <c r="C80" s="2">
        <v>80</v>
      </c>
      <c r="D80" s="2"/>
      <c r="E80" s="2"/>
      <c r="F80" s="2"/>
      <c r="G80" s="2"/>
      <c r="H80" s="2"/>
      <c r="I80" s="2"/>
      <c r="J80" s="2">
        <v>77</v>
      </c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>
        <v>4.8</v>
      </c>
      <c r="Y80" s="2"/>
      <c r="Z80" s="2"/>
      <c r="AA80" s="2"/>
      <c r="AB80" s="2"/>
      <c r="AC80" s="2"/>
      <c r="AD80" s="2"/>
      <c r="AE80" s="2"/>
      <c r="AF80" s="2"/>
      <c r="AG80" s="2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9"/>
      <c r="BK80" s="9"/>
      <c r="BL80" s="9"/>
      <c r="BM80" s="9"/>
      <c r="BN80" s="9"/>
      <c r="BO80" s="9"/>
      <c r="BP80" s="9"/>
      <c r="BQ80" s="9"/>
      <c r="BR80" s="9"/>
      <c r="BS80" s="9"/>
      <c r="BT80" s="9"/>
      <c r="BU80" s="9"/>
      <c r="BV80" s="9"/>
      <c r="BW80" s="9"/>
      <c r="BX80" s="9"/>
      <c r="BY80" s="9"/>
      <c r="BZ80" s="9"/>
      <c r="CA80" s="9"/>
      <c r="CB80" s="9"/>
      <c r="CC80" s="9"/>
      <c r="CD80" s="9"/>
      <c r="CE80" s="9"/>
      <c r="CF80" s="9"/>
      <c r="CG80" s="9"/>
      <c r="CH80" s="9"/>
      <c r="CI80" s="9"/>
      <c r="CJ80" s="9"/>
      <c r="CK80" s="9"/>
      <c r="CL80" s="9"/>
      <c r="CM80" s="9"/>
      <c r="CN80" s="9"/>
      <c r="CO80" s="9"/>
      <c r="CP80" s="9"/>
      <c r="CQ80" s="9"/>
      <c r="CR80" s="9"/>
      <c r="CS80" s="9"/>
    </row>
    <row r="81" spans="1:97" s="11" customFormat="1" ht="10.5" customHeight="1">
      <c r="A81" s="110">
        <v>278</v>
      </c>
      <c r="B81" s="111" t="s">
        <v>73</v>
      </c>
      <c r="C81" s="2">
        <v>60</v>
      </c>
      <c r="D81" s="2"/>
      <c r="E81" s="2">
        <v>8</v>
      </c>
      <c r="F81" s="2">
        <v>2</v>
      </c>
      <c r="G81" s="2"/>
      <c r="H81" s="2"/>
      <c r="I81" s="2"/>
      <c r="J81" s="2">
        <v>20</v>
      </c>
      <c r="K81" s="2"/>
      <c r="L81" s="2"/>
      <c r="M81" s="2"/>
      <c r="N81" s="2">
        <v>38</v>
      </c>
      <c r="O81" s="2"/>
      <c r="P81" s="2"/>
      <c r="Q81" s="2"/>
      <c r="R81" s="2">
        <v>12</v>
      </c>
      <c r="S81" s="2"/>
      <c r="T81" s="2"/>
      <c r="U81" s="2"/>
      <c r="V81" s="2"/>
      <c r="W81" s="2"/>
      <c r="X81" s="2">
        <v>4</v>
      </c>
      <c r="Y81" s="2"/>
      <c r="Z81" s="2"/>
      <c r="AA81" s="2"/>
      <c r="AB81" s="2"/>
      <c r="AC81" s="2"/>
      <c r="AD81" s="2"/>
      <c r="AE81" s="2"/>
      <c r="AF81" s="2"/>
      <c r="AG81" s="2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9"/>
      <c r="BJ81" s="9"/>
      <c r="BK81" s="9"/>
      <c r="BL81" s="9"/>
      <c r="BM81" s="9"/>
      <c r="BN81" s="9"/>
      <c r="BO81" s="9"/>
      <c r="BP81" s="9"/>
      <c r="BQ81" s="9"/>
      <c r="BR81" s="9"/>
      <c r="BS81" s="9"/>
      <c r="BT81" s="9"/>
      <c r="BU81" s="9"/>
      <c r="BV81" s="9"/>
      <c r="BW81" s="9"/>
      <c r="BX81" s="9"/>
      <c r="BY81" s="9"/>
      <c r="BZ81" s="9"/>
      <c r="CA81" s="9"/>
      <c r="CB81" s="9"/>
      <c r="CC81" s="9"/>
      <c r="CD81" s="9"/>
      <c r="CE81" s="9"/>
      <c r="CF81" s="9"/>
      <c r="CG81" s="9"/>
      <c r="CH81" s="9"/>
      <c r="CI81" s="9"/>
      <c r="CJ81" s="9"/>
      <c r="CK81" s="9"/>
      <c r="CL81" s="9"/>
      <c r="CM81" s="9"/>
      <c r="CN81" s="9"/>
      <c r="CO81" s="9"/>
      <c r="CP81" s="9"/>
      <c r="CQ81" s="9"/>
      <c r="CR81" s="9"/>
      <c r="CS81" s="9"/>
    </row>
    <row r="82" spans="1:97" s="11" customFormat="1" ht="10.5" customHeight="1">
      <c r="A82" s="117">
        <v>330</v>
      </c>
      <c r="B82" s="111" t="s">
        <v>72</v>
      </c>
      <c r="C82" s="2">
        <v>50</v>
      </c>
      <c r="D82" s="2"/>
      <c r="E82" s="2"/>
      <c r="F82" s="2">
        <v>3.75</v>
      </c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>
        <v>12.5</v>
      </c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9"/>
      <c r="BK82" s="9"/>
      <c r="BL82" s="9"/>
      <c r="BM82" s="9"/>
      <c r="BN82" s="9"/>
      <c r="BO82" s="9"/>
      <c r="BP82" s="9"/>
      <c r="BQ82" s="9"/>
      <c r="BR82" s="9"/>
      <c r="BS82" s="9"/>
      <c r="BT82" s="9"/>
      <c r="BU82" s="9"/>
      <c r="BV82" s="9"/>
      <c r="BW82" s="9"/>
      <c r="BX82" s="9"/>
      <c r="BY82" s="9"/>
      <c r="BZ82" s="9"/>
      <c r="CA82" s="9"/>
      <c r="CB82" s="9"/>
      <c r="CC82" s="9"/>
      <c r="CD82" s="9"/>
      <c r="CE82" s="9"/>
      <c r="CF82" s="9"/>
      <c r="CG82" s="9"/>
      <c r="CH82" s="9"/>
      <c r="CI82" s="9"/>
      <c r="CJ82" s="9"/>
      <c r="CK82" s="9"/>
      <c r="CL82" s="9"/>
      <c r="CM82" s="9"/>
      <c r="CN82" s="9"/>
      <c r="CO82" s="9"/>
      <c r="CP82" s="9"/>
      <c r="CQ82" s="9"/>
      <c r="CR82" s="9"/>
      <c r="CS82" s="9"/>
    </row>
    <row r="83" spans="1:97" s="11" customFormat="1" ht="10.5" customHeight="1">
      <c r="A83" s="110">
        <v>302</v>
      </c>
      <c r="B83" s="111" t="s">
        <v>132</v>
      </c>
      <c r="C83" s="2">
        <v>150</v>
      </c>
      <c r="D83" s="2"/>
      <c r="E83" s="2"/>
      <c r="F83" s="2"/>
      <c r="G83" s="2">
        <f>25*1.5</f>
        <v>37.5</v>
      </c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>
        <v>6</v>
      </c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E83" s="9"/>
      <c r="BF83" s="9"/>
      <c r="BG83" s="9"/>
      <c r="BH83" s="9"/>
      <c r="BI83" s="9"/>
      <c r="BJ83" s="9"/>
      <c r="BK83" s="9"/>
      <c r="BL83" s="9"/>
      <c r="BM83" s="9"/>
      <c r="BN83" s="9"/>
      <c r="BO83" s="9"/>
      <c r="BP83" s="9"/>
      <c r="BQ83" s="9"/>
      <c r="BR83" s="9"/>
      <c r="BS83" s="9"/>
      <c r="BT83" s="9"/>
      <c r="BU83" s="9"/>
      <c r="BV83" s="9"/>
      <c r="BW83" s="9"/>
      <c r="BX83" s="9"/>
      <c r="BY83" s="9"/>
      <c r="BZ83" s="9"/>
      <c r="CA83" s="9"/>
      <c r="CB83" s="9"/>
      <c r="CC83" s="9"/>
      <c r="CD83" s="9"/>
      <c r="CE83" s="9"/>
      <c r="CF83" s="9"/>
      <c r="CG83" s="9"/>
      <c r="CH83" s="9"/>
      <c r="CI83" s="9"/>
      <c r="CJ83" s="9"/>
      <c r="CK83" s="9"/>
      <c r="CL83" s="9"/>
      <c r="CM83" s="9"/>
      <c r="CN83" s="9"/>
      <c r="CO83" s="9"/>
      <c r="CP83" s="9"/>
      <c r="CQ83" s="9"/>
      <c r="CR83" s="9"/>
      <c r="CS83" s="9"/>
    </row>
    <row r="84" spans="1:97" s="11" customFormat="1" ht="10.5" customHeight="1">
      <c r="A84" s="110">
        <v>342</v>
      </c>
      <c r="B84" s="111" t="s">
        <v>92</v>
      </c>
      <c r="C84" s="2">
        <v>200</v>
      </c>
      <c r="D84" s="2"/>
      <c r="E84" s="2"/>
      <c r="F84" s="2"/>
      <c r="G84" s="2"/>
      <c r="H84" s="2"/>
      <c r="I84" s="2"/>
      <c r="J84" s="2"/>
      <c r="K84" s="2">
        <v>40</v>
      </c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>
        <v>5</v>
      </c>
      <c r="AA84" s="2"/>
      <c r="AB84" s="2"/>
      <c r="AC84" s="2"/>
      <c r="AD84" s="2"/>
      <c r="AE84" s="2"/>
      <c r="AF84" s="2"/>
      <c r="AG84" s="2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9"/>
      <c r="BA84" s="9"/>
      <c r="BB84" s="9"/>
      <c r="BC84" s="9"/>
      <c r="BD84" s="9"/>
      <c r="BE84" s="9"/>
      <c r="BF84" s="9"/>
      <c r="BG84" s="9"/>
      <c r="BH84" s="9"/>
      <c r="BI84" s="9"/>
      <c r="BJ84" s="9"/>
      <c r="BK84" s="9"/>
      <c r="BL84" s="9"/>
      <c r="BM84" s="9"/>
      <c r="BN84" s="9"/>
      <c r="BO84" s="9"/>
      <c r="BP84" s="9"/>
      <c r="BQ84" s="9"/>
      <c r="BR84" s="9"/>
      <c r="BS84" s="9"/>
      <c r="BT84" s="9"/>
      <c r="BU84" s="9"/>
      <c r="BV84" s="9"/>
      <c r="BW84" s="9"/>
      <c r="BX84" s="9"/>
      <c r="BY84" s="9"/>
      <c r="BZ84" s="9"/>
      <c r="CA84" s="9"/>
      <c r="CB84" s="9"/>
      <c r="CC84" s="9"/>
      <c r="CD84" s="9"/>
      <c r="CE84" s="9"/>
      <c r="CF84" s="9"/>
      <c r="CG84" s="9"/>
      <c r="CH84" s="9"/>
      <c r="CI84" s="9"/>
      <c r="CJ84" s="9"/>
      <c r="CK84" s="9"/>
      <c r="CL84" s="9"/>
      <c r="CM84" s="9"/>
      <c r="CN84" s="9"/>
      <c r="CO84" s="9"/>
      <c r="CP84" s="9"/>
      <c r="CQ84" s="9"/>
      <c r="CR84" s="9"/>
      <c r="CS84" s="9"/>
    </row>
    <row r="85" spans="1:97" s="11" customFormat="1" ht="10.5" customHeight="1">
      <c r="A85" s="110"/>
      <c r="B85" s="111" t="s">
        <v>128</v>
      </c>
      <c r="C85" s="2">
        <v>25</v>
      </c>
      <c r="D85" s="2">
        <v>25</v>
      </c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9"/>
      <c r="AZ85" s="9"/>
      <c r="BA85" s="9"/>
      <c r="BB85" s="9"/>
      <c r="BC85" s="9"/>
      <c r="BD85" s="9"/>
      <c r="BE85" s="9"/>
      <c r="BF85" s="9"/>
      <c r="BG85" s="9"/>
      <c r="BH85" s="9"/>
      <c r="BI85" s="9"/>
      <c r="BJ85" s="9"/>
      <c r="BK85" s="9"/>
      <c r="BL85" s="9"/>
      <c r="BM85" s="9"/>
      <c r="BN85" s="9"/>
      <c r="BO85" s="9"/>
      <c r="BP85" s="9"/>
      <c r="BQ85" s="9"/>
      <c r="BR85" s="9"/>
      <c r="BS85" s="9"/>
      <c r="BT85" s="9"/>
      <c r="BU85" s="9"/>
      <c r="BV85" s="9"/>
      <c r="BW85" s="9"/>
      <c r="BX85" s="9"/>
      <c r="BY85" s="9"/>
      <c r="BZ85" s="9"/>
      <c r="CA85" s="9"/>
      <c r="CB85" s="9"/>
      <c r="CC85" s="9"/>
      <c r="CD85" s="9"/>
      <c r="CE85" s="9"/>
      <c r="CF85" s="9"/>
      <c r="CG85" s="9"/>
      <c r="CH85" s="9"/>
      <c r="CI85" s="9"/>
      <c r="CJ85" s="9"/>
      <c r="CK85" s="9"/>
      <c r="CL85" s="9"/>
      <c r="CM85" s="9"/>
      <c r="CN85" s="9"/>
      <c r="CO85" s="9"/>
      <c r="CP85" s="9"/>
      <c r="CQ85" s="9"/>
      <c r="CR85" s="9"/>
      <c r="CS85" s="9"/>
    </row>
    <row r="86" spans="1:97" s="11" customFormat="1" ht="10.5" customHeight="1">
      <c r="A86" s="110"/>
      <c r="B86" s="111" t="s">
        <v>4</v>
      </c>
      <c r="C86" s="2">
        <v>40</v>
      </c>
      <c r="D86" s="2"/>
      <c r="E86" s="2">
        <v>40</v>
      </c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  <c r="AZ86" s="9"/>
      <c r="BA86" s="9"/>
      <c r="BB86" s="9"/>
      <c r="BC86" s="9"/>
      <c r="BD86" s="9"/>
      <c r="BE86" s="9"/>
      <c r="BF86" s="9"/>
      <c r="BG86" s="9"/>
      <c r="BH86" s="9"/>
      <c r="BI86" s="9"/>
      <c r="BJ86" s="9"/>
      <c r="BK86" s="9"/>
      <c r="BL86" s="9"/>
      <c r="BM86" s="9"/>
      <c r="BN86" s="9"/>
      <c r="BO86" s="9"/>
      <c r="BP86" s="9"/>
      <c r="BQ86" s="9"/>
      <c r="BR86" s="9"/>
      <c r="BS86" s="9"/>
      <c r="BT86" s="9"/>
      <c r="BU86" s="9"/>
      <c r="BV86" s="9"/>
      <c r="BW86" s="9"/>
      <c r="BX86" s="9"/>
      <c r="BY86" s="9"/>
      <c r="BZ86" s="9"/>
      <c r="CA86" s="9"/>
      <c r="CB86" s="9"/>
      <c r="CC86" s="9"/>
      <c r="CD86" s="9"/>
      <c r="CE86" s="9"/>
      <c r="CF86" s="9"/>
      <c r="CG86" s="9"/>
      <c r="CH86" s="9"/>
      <c r="CI86" s="9"/>
      <c r="CJ86" s="9"/>
      <c r="CK86" s="9"/>
      <c r="CL86" s="9"/>
      <c r="CM86" s="9"/>
      <c r="CN86" s="9"/>
      <c r="CO86" s="9"/>
      <c r="CP86" s="9"/>
      <c r="CQ86" s="9"/>
      <c r="CR86" s="9"/>
      <c r="CS86" s="9"/>
    </row>
    <row r="87" spans="1:97" s="11" customFormat="1" ht="10.5" customHeight="1">
      <c r="A87" s="120"/>
      <c r="B87" s="121" t="s">
        <v>130</v>
      </c>
      <c r="C87" s="27">
        <v>25</v>
      </c>
      <c r="D87" s="27"/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27"/>
      <c r="W87" s="27"/>
      <c r="X87" s="27"/>
      <c r="Y87" s="27"/>
      <c r="Z87" s="27"/>
      <c r="AA87" s="27">
        <v>25</v>
      </c>
      <c r="AB87" s="27"/>
      <c r="AC87" s="27"/>
      <c r="AD87" s="27"/>
      <c r="AE87" s="27"/>
      <c r="AF87" s="27"/>
      <c r="AG87" s="27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9"/>
      <c r="AZ87" s="9"/>
      <c r="BA87" s="9"/>
      <c r="BB87" s="9"/>
      <c r="BC87" s="9"/>
      <c r="BD87" s="9"/>
      <c r="BE87" s="9"/>
      <c r="BF87" s="9"/>
      <c r="BG87" s="9"/>
      <c r="BH87" s="9"/>
      <c r="BI87" s="9"/>
      <c r="BJ87" s="9"/>
      <c r="BK87" s="9"/>
      <c r="BL87" s="9"/>
      <c r="BM87" s="9"/>
      <c r="BN87" s="9"/>
      <c r="BO87" s="9"/>
      <c r="BP87" s="9"/>
      <c r="BQ87" s="9"/>
      <c r="BR87" s="9"/>
      <c r="BS87" s="9"/>
      <c r="BT87" s="9"/>
      <c r="BU87" s="9"/>
      <c r="BV87" s="9"/>
      <c r="BW87" s="9"/>
      <c r="BX87" s="9"/>
      <c r="BY87" s="9"/>
      <c r="BZ87" s="9"/>
      <c r="CA87" s="9"/>
      <c r="CB87" s="9"/>
      <c r="CC87" s="9"/>
      <c r="CD87" s="9"/>
      <c r="CE87" s="9"/>
      <c r="CF87" s="9"/>
      <c r="CG87" s="9"/>
      <c r="CH87" s="9"/>
      <c r="CI87" s="9"/>
      <c r="CJ87" s="9"/>
      <c r="CK87" s="9"/>
      <c r="CL87" s="9"/>
      <c r="CM87" s="9"/>
      <c r="CN87" s="9"/>
      <c r="CO87" s="9"/>
      <c r="CP87" s="9"/>
      <c r="CQ87" s="9"/>
      <c r="CR87" s="9"/>
      <c r="CS87" s="9"/>
    </row>
    <row r="88" spans="1:97" s="11" customFormat="1" ht="10.5" customHeight="1">
      <c r="A88" s="74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  <c r="BB88" s="9"/>
      <c r="BC88" s="9"/>
      <c r="BD88" s="9"/>
      <c r="BE88" s="9"/>
      <c r="BF88" s="9"/>
      <c r="BG88" s="9"/>
      <c r="BH88" s="9"/>
      <c r="BI88" s="9"/>
      <c r="BJ88" s="9"/>
      <c r="BK88" s="9"/>
      <c r="BL88" s="9"/>
      <c r="BM88" s="9"/>
      <c r="BN88" s="9"/>
      <c r="BO88" s="9"/>
      <c r="BP88" s="9"/>
      <c r="BQ88" s="9"/>
      <c r="BR88" s="9"/>
      <c r="BS88" s="9"/>
      <c r="BT88" s="9"/>
      <c r="BU88" s="9"/>
      <c r="BV88" s="9"/>
      <c r="BW88" s="9"/>
      <c r="BX88" s="9"/>
      <c r="BY88" s="9"/>
      <c r="BZ88" s="9"/>
      <c r="CA88" s="9"/>
      <c r="CB88" s="9"/>
      <c r="CC88" s="9"/>
      <c r="CD88" s="9"/>
      <c r="CE88" s="9"/>
      <c r="CF88" s="9"/>
      <c r="CG88" s="9"/>
      <c r="CH88" s="9"/>
      <c r="CI88" s="9"/>
      <c r="CJ88" s="9"/>
      <c r="CK88" s="9"/>
      <c r="CL88" s="9"/>
      <c r="CM88" s="9"/>
      <c r="CN88" s="9"/>
      <c r="CO88" s="9"/>
      <c r="CP88" s="9"/>
      <c r="CQ88" s="9"/>
      <c r="CR88" s="9"/>
      <c r="CS88" s="9"/>
    </row>
    <row r="89" spans="1:97" s="16" customFormat="1" ht="10.5" customHeight="1">
      <c r="A89" s="77"/>
      <c r="B89" s="13" t="s">
        <v>157</v>
      </c>
      <c r="C89" s="14">
        <f t="shared" ref="C89:AG89" si="9">SUM(C80:C88)</f>
        <v>630</v>
      </c>
      <c r="D89" s="14">
        <f t="shared" si="9"/>
        <v>25</v>
      </c>
      <c r="E89" s="14">
        <f t="shared" si="9"/>
        <v>48</v>
      </c>
      <c r="F89" s="14">
        <f t="shared" si="9"/>
        <v>5.75</v>
      </c>
      <c r="G89" s="14">
        <f t="shared" si="9"/>
        <v>37.5</v>
      </c>
      <c r="H89" s="14">
        <f t="shared" si="9"/>
        <v>0</v>
      </c>
      <c r="I89" s="14">
        <f t="shared" si="9"/>
        <v>0</v>
      </c>
      <c r="J89" s="14">
        <f t="shared" si="9"/>
        <v>97</v>
      </c>
      <c r="K89" s="14">
        <f t="shared" si="9"/>
        <v>40</v>
      </c>
      <c r="L89" s="14">
        <f t="shared" si="9"/>
        <v>0</v>
      </c>
      <c r="M89" s="14">
        <f t="shared" si="9"/>
        <v>0</v>
      </c>
      <c r="N89" s="14">
        <f t="shared" si="9"/>
        <v>38</v>
      </c>
      <c r="O89" s="14">
        <f t="shared" si="9"/>
        <v>0</v>
      </c>
      <c r="P89" s="14">
        <f t="shared" si="9"/>
        <v>0</v>
      </c>
      <c r="Q89" s="14">
        <f t="shared" si="9"/>
        <v>0</v>
      </c>
      <c r="R89" s="14">
        <f t="shared" si="9"/>
        <v>12</v>
      </c>
      <c r="S89" s="14">
        <f t="shared" si="9"/>
        <v>0</v>
      </c>
      <c r="T89" s="14">
        <f t="shared" si="9"/>
        <v>0</v>
      </c>
      <c r="U89" s="14">
        <f t="shared" si="9"/>
        <v>0</v>
      </c>
      <c r="V89" s="14">
        <f t="shared" si="9"/>
        <v>12.5</v>
      </c>
      <c r="W89" s="14">
        <f t="shared" si="9"/>
        <v>6</v>
      </c>
      <c r="X89" s="14">
        <f t="shared" si="9"/>
        <v>8.8000000000000007</v>
      </c>
      <c r="Y89" s="14">
        <f t="shared" si="9"/>
        <v>0</v>
      </c>
      <c r="Z89" s="14">
        <f t="shared" si="9"/>
        <v>5</v>
      </c>
      <c r="AA89" s="14">
        <f t="shared" si="9"/>
        <v>25</v>
      </c>
      <c r="AB89" s="14">
        <f t="shared" si="9"/>
        <v>0</v>
      </c>
      <c r="AC89" s="14">
        <f t="shared" si="9"/>
        <v>0</v>
      </c>
      <c r="AD89" s="14">
        <f t="shared" si="9"/>
        <v>0</v>
      </c>
      <c r="AE89" s="14">
        <f t="shared" si="9"/>
        <v>0</v>
      </c>
      <c r="AF89" s="14">
        <f t="shared" si="9"/>
        <v>0</v>
      </c>
      <c r="AG89" s="14">
        <f t="shared" si="9"/>
        <v>0</v>
      </c>
      <c r="AH89" s="15"/>
      <c r="AI89" s="15"/>
      <c r="AJ89" s="15"/>
      <c r="AK89" s="15"/>
      <c r="AL89" s="15"/>
      <c r="AM89" s="15"/>
      <c r="AN89" s="15"/>
      <c r="AO89" s="15"/>
      <c r="AP89" s="15"/>
      <c r="AQ89" s="15"/>
      <c r="AR89" s="15"/>
      <c r="AS89" s="15"/>
      <c r="AT89" s="15"/>
      <c r="AU89" s="15"/>
      <c r="AV89" s="15"/>
      <c r="AW89" s="15"/>
      <c r="AX89" s="15"/>
      <c r="AY89" s="15"/>
      <c r="AZ89" s="15"/>
      <c r="BA89" s="15"/>
      <c r="BB89" s="15"/>
      <c r="BC89" s="15"/>
      <c r="BD89" s="15"/>
      <c r="BE89" s="15"/>
      <c r="BF89" s="15"/>
      <c r="BG89" s="15"/>
      <c r="BH89" s="15"/>
      <c r="BI89" s="15"/>
      <c r="BJ89" s="15"/>
      <c r="BK89" s="15"/>
      <c r="BL89" s="15"/>
      <c r="BM89" s="15"/>
      <c r="BN89" s="15"/>
      <c r="BO89" s="15"/>
      <c r="BP89" s="15"/>
      <c r="BQ89" s="15"/>
      <c r="BR89" s="15"/>
      <c r="BS89" s="15"/>
      <c r="BT89" s="15"/>
      <c r="BU89" s="15"/>
      <c r="BV89" s="15"/>
      <c r="BW89" s="15"/>
      <c r="BX89" s="15"/>
      <c r="BY89" s="15"/>
      <c r="BZ89" s="15"/>
      <c r="CA89" s="15"/>
      <c r="CB89" s="15"/>
      <c r="CC89" s="15"/>
      <c r="CD89" s="15"/>
      <c r="CE89" s="15"/>
      <c r="CF89" s="15"/>
      <c r="CG89" s="15"/>
      <c r="CH89" s="15"/>
      <c r="CI89" s="15"/>
      <c r="CJ89" s="15"/>
      <c r="CK89" s="15"/>
      <c r="CL89" s="15"/>
      <c r="CM89" s="15"/>
      <c r="CN89" s="15"/>
      <c r="CO89" s="15"/>
      <c r="CP89" s="15"/>
      <c r="CQ89" s="15"/>
      <c r="CR89" s="15"/>
      <c r="CS89" s="15"/>
    </row>
    <row r="90" spans="1:97" s="15" customFormat="1" ht="10.5" customHeight="1">
      <c r="A90" s="79"/>
      <c r="B90" s="22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</row>
    <row r="91" spans="1:97" s="25" customFormat="1" ht="10.5" customHeight="1">
      <c r="A91" s="189" t="s">
        <v>117</v>
      </c>
      <c r="B91" s="190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15"/>
      <c r="AI91" s="15"/>
      <c r="AJ91" s="15"/>
      <c r="AK91" s="15"/>
      <c r="AL91" s="15"/>
      <c r="AM91" s="15"/>
      <c r="AN91" s="15"/>
      <c r="AO91" s="15"/>
      <c r="AP91" s="15"/>
      <c r="AQ91" s="15"/>
      <c r="AR91" s="15"/>
      <c r="AS91" s="15"/>
      <c r="AT91" s="15"/>
      <c r="AU91" s="15"/>
      <c r="AV91" s="15"/>
      <c r="AW91" s="15"/>
      <c r="AX91" s="15"/>
      <c r="AY91" s="15"/>
      <c r="AZ91" s="15"/>
      <c r="BA91" s="15"/>
      <c r="BB91" s="15"/>
      <c r="BC91" s="15"/>
      <c r="BD91" s="15"/>
      <c r="BE91" s="15"/>
      <c r="BF91" s="15"/>
      <c r="BG91" s="15"/>
      <c r="BH91" s="15"/>
      <c r="BI91" s="15"/>
      <c r="BJ91" s="15"/>
      <c r="BK91" s="15"/>
      <c r="BL91" s="15"/>
      <c r="BM91" s="15"/>
      <c r="BN91" s="15"/>
      <c r="BO91" s="15"/>
      <c r="BP91" s="15"/>
      <c r="BQ91" s="15"/>
      <c r="BR91" s="15"/>
      <c r="BS91" s="15"/>
      <c r="BT91" s="15"/>
      <c r="BU91" s="15"/>
      <c r="BV91" s="15"/>
      <c r="BW91" s="15"/>
      <c r="BX91" s="15"/>
      <c r="BY91" s="15"/>
      <c r="BZ91" s="15"/>
      <c r="CA91" s="15"/>
      <c r="CB91" s="15"/>
      <c r="CC91" s="15"/>
      <c r="CD91" s="15"/>
      <c r="CE91" s="15"/>
      <c r="CF91" s="15"/>
      <c r="CG91" s="15"/>
      <c r="CH91" s="15"/>
      <c r="CI91" s="15"/>
      <c r="CJ91" s="15"/>
      <c r="CK91" s="15"/>
      <c r="CL91" s="15"/>
      <c r="CM91" s="15"/>
      <c r="CN91" s="15"/>
      <c r="CO91" s="15"/>
      <c r="CP91" s="15"/>
      <c r="CQ91" s="15"/>
      <c r="CR91" s="15"/>
      <c r="CS91" s="15"/>
    </row>
    <row r="92" spans="1:97" s="11" customFormat="1" ht="10.5" customHeight="1">
      <c r="A92" s="110">
        <v>222</v>
      </c>
      <c r="B92" s="111" t="s">
        <v>69</v>
      </c>
      <c r="C92" s="2">
        <v>160</v>
      </c>
      <c r="D92" s="2"/>
      <c r="E92" s="2">
        <f>2*3</f>
        <v>6</v>
      </c>
      <c r="F92" s="2"/>
      <c r="G92" s="2">
        <v>12</v>
      </c>
      <c r="H92" s="2"/>
      <c r="I92" s="2"/>
      <c r="J92" s="2"/>
      <c r="K92" s="2"/>
      <c r="L92" s="2">
        <v>16</v>
      </c>
      <c r="M92" s="2"/>
      <c r="N92" s="2"/>
      <c r="O92" s="2"/>
      <c r="P92" s="2"/>
      <c r="Q92" s="2"/>
      <c r="R92" s="2"/>
      <c r="S92" s="2"/>
      <c r="T92" s="2">
        <v>125</v>
      </c>
      <c r="U92" s="2"/>
      <c r="V92" s="2">
        <v>5</v>
      </c>
      <c r="W92" s="2">
        <f>2*3</f>
        <v>6</v>
      </c>
      <c r="X92" s="2"/>
      <c r="Y92" s="2">
        <v>4</v>
      </c>
      <c r="Z92" s="2">
        <v>5</v>
      </c>
      <c r="AA92" s="2"/>
      <c r="AB92" s="2"/>
      <c r="AC92" s="2"/>
      <c r="AD92" s="2"/>
      <c r="AE92" s="2"/>
      <c r="AF92" s="2"/>
      <c r="AG92" s="2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9"/>
      <c r="AZ92" s="9"/>
      <c r="BA92" s="9"/>
      <c r="BB92" s="9"/>
      <c r="BC92" s="9"/>
      <c r="BD92" s="9"/>
      <c r="BE92" s="9"/>
      <c r="BF92" s="9"/>
      <c r="BG92" s="9"/>
      <c r="BH92" s="9"/>
      <c r="BI92" s="9"/>
      <c r="BJ92" s="9"/>
      <c r="BK92" s="9"/>
      <c r="BL92" s="9"/>
      <c r="BM92" s="9"/>
      <c r="BN92" s="9"/>
      <c r="BO92" s="9"/>
      <c r="BP92" s="9"/>
      <c r="BQ92" s="9"/>
      <c r="BR92" s="9"/>
      <c r="BS92" s="9"/>
      <c r="BT92" s="9"/>
      <c r="BU92" s="9"/>
      <c r="BV92" s="9"/>
      <c r="BW92" s="9"/>
      <c r="BX92" s="9"/>
      <c r="BY92" s="9"/>
      <c r="BZ92" s="9"/>
      <c r="CA92" s="9"/>
      <c r="CB92" s="9"/>
      <c r="CC92" s="9"/>
      <c r="CD92" s="9"/>
      <c r="CE92" s="9"/>
      <c r="CF92" s="9"/>
      <c r="CG92" s="9"/>
      <c r="CH92" s="9"/>
      <c r="CI92" s="9"/>
      <c r="CJ92" s="9"/>
      <c r="CK92" s="9"/>
      <c r="CL92" s="9"/>
      <c r="CM92" s="9"/>
      <c r="CN92" s="9"/>
      <c r="CO92" s="9"/>
      <c r="CP92" s="9"/>
      <c r="CQ92" s="9"/>
      <c r="CR92" s="9"/>
      <c r="CS92" s="9"/>
    </row>
    <row r="93" spans="1:97" ht="10.5" customHeight="1">
      <c r="A93" s="116">
        <v>327</v>
      </c>
      <c r="B93" s="4" t="s">
        <v>91</v>
      </c>
      <c r="C93" s="1">
        <v>15</v>
      </c>
      <c r="R93" s="1">
        <f>15/0.46</f>
        <v>32.608695652173914</v>
      </c>
      <c r="Z93" s="1">
        <f>15*41/100</f>
        <v>6.15</v>
      </c>
    </row>
    <row r="94" spans="1:97" s="11" customFormat="1" ht="10.5" customHeight="1">
      <c r="A94" s="110">
        <v>397</v>
      </c>
      <c r="B94" s="111" t="s">
        <v>6</v>
      </c>
      <c r="C94" s="2">
        <v>200</v>
      </c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>
        <v>100</v>
      </c>
      <c r="S94" s="2"/>
      <c r="T94" s="2"/>
      <c r="U94" s="2"/>
      <c r="V94" s="2"/>
      <c r="W94" s="2"/>
      <c r="X94" s="2"/>
      <c r="Y94" s="2"/>
      <c r="Z94" s="2">
        <v>10</v>
      </c>
      <c r="AA94" s="2"/>
      <c r="AB94" s="2"/>
      <c r="AC94" s="2">
        <v>1.5</v>
      </c>
      <c r="AD94" s="2"/>
      <c r="AE94" s="2"/>
      <c r="AF94" s="2"/>
      <c r="AG94" s="2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9"/>
      <c r="AZ94" s="9"/>
      <c r="BA94" s="9"/>
      <c r="BB94" s="9"/>
      <c r="BC94" s="9"/>
      <c r="BD94" s="9"/>
      <c r="BE94" s="9"/>
      <c r="BF94" s="9"/>
      <c r="BG94" s="9"/>
      <c r="BH94" s="9"/>
      <c r="BI94" s="9"/>
      <c r="BJ94" s="9"/>
      <c r="BK94" s="9"/>
      <c r="BL94" s="9"/>
      <c r="BM94" s="9"/>
      <c r="BN94" s="9"/>
      <c r="BO94" s="9"/>
      <c r="BP94" s="9"/>
      <c r="BQ94" s="9"/>
      <c r="BR94" s="9"/>
      <c r="BS94" s="9"/>
      <c r="BT94" s="9"/>
      <c r="BU94" s="9"/>
      <c r="BV94" s="9"/>
      <c r="BW94" s="9"/>
      <c r="BX94" s="9"/>
      <c r="BY94" s="9"/>
      <c r="BZ94" s="9"/>
      <c r="CA94" s="9"/>
      <c r="CB94" s="9"/>
      <c r="CC94" s="9"/>
      <c r="CD94" s="9"/>
      <c r="CE94" s="9"/>
      <c r="CF94" s="9"/>
      <c r="CG94" s="9"/>
      <c r="CH94" s="9"/>
      <c r="CI94" s="9"/>
      <c r="CJ94" s="9"/>
      <c r="CK94" s="9"/>
      <c r="CL94" s="9"/>
      <c r="CM94" s="9"/>
      <c r="CN94" s="9"/>
      <c r="CO94" s="9"/>
      <c r="CP94" s="9"/>
      <c r="CQ94" s="9"/>
      <c r="CR94" s="9"/>
      <c r="CS94" s="9"/>
    </row>
    <row r="95" spans="1:97" s="11" customFormat="1" ht="10.5" customHeight="1">
      <c r="A95" s="110"/>
      <c r="B95" s="111" t="s">
        <v>4</v>
      </c>
      <c r="C95" s="2">
        <v>40</v>
      </c>
      <c r="D95" s="2"/>
      <c r="E95" s="2">
        <v>40</v>
      </c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9"/>
      <c r="AZ95" s="9"/>
      <c r="BA95" s="9"/>
      <c r="BB95" s="9"/>
      <c r="BC95" s="9"/>
      <c r="BD95" s="9"/>
      <c r="BE95" s="9"/>
      <c r="BF95" s="9"/>
      <c r="BG95" s="9"/>
      <c r="BH95" s="9"/>
      <c r="BI95" s="9"/>
      <c r="BJ95" s="9"/>
      <c r="BK95" s="9"/>
      <c r="BL95" s="9"/>
      <c r="BM95" s="9"/>
      <c r="BN95" s="9"/>
      <c r="BO95" s="9"/>
      <c r="BP95" s="9"/>
      <c r="BQ95" s="9"/>
      <c r="BR95" s="9"/>
      <c r="BS95" s="9"/>
      <c r="BT95" s="9"/>
      <c r="BU95" s="9"/>
      <c r="BV95" s="9"/>
      <c r="BW95" s="9"/>
      <c r="BX95" s="9"/>
      <c r="BY95" s="9"/>
      <c r="BZ95" s="9"/>
      <c r="CA95" s="9"/>
      <c r="CB95" s="9"/>
      <c r="CC95" s="9"/>
      <c r="CD95" s="9"/>
      <c r="CE95" s="9"/>
      <c r="CF95" s="9"/>
      <c r="CG95" s="9"/>
      <c r="CH95" s="9"/>
      <c r="CI95" s="9"/>
      <c r="CJ95" s="9"/>
      <c r="CK95" s="9"/>
      <c r="CL95" s="9"/>
      <c r="CM95" s="9"/>
      <c r="CN95" s="9"/>
      <c r="CO95" s="9"/>
      <c r="CP95" s="9"/>
      <c r="CQ95" s="9"/>
      <c r="CR95" s="9"/>
      <c r="CS95" s="9"/>
    </row>
    <row r="96" spans="1:97" s="11" customFormat="1" ht="10.5" customHeight="1">
      <c r="A96" s="118"/>
      <c r="B96" s="111" t="s">
        <v>133</v>
      </c>
      <c r="C96" s="2">
        <v>180</v>
      </c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>
        <v>180</v>
      </c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  <c r="AY96" s="9"/>
      <c r="AZ96" s="9"/>
      <c r="BA96" s="9"/>
      <c r="BB96" s="9"/>
      <c r="BC96" s="9"/>
      <c r="BD96" s="9"/>
      <c r="BE96" s="9"/>
      <c r="BF96" s="9"/>
      <c r="BG96" s="9"/>
      <c r="BH96" s="9"/>
      <c r="BI96" s="9"/>
      <c r="BJ96" s="9"/>
      <c r="BK96" s="9"/>
      <c r="BL96" s="9"/>
      <c r="BM96" s="9"/>
      <c r="BN96" s="9"/>
      <c r="BO96" s="9"/>
      <c r="BP96" s="9"/>
      <c r="BQ96" s="9"/>
      <c r="BR96" s="9"/>
      <c r="BS96" s="9"/>
      <c r="BT96" s="9"/>
      <c r="BU96" s="9"/>
      <c r="BV96" s="9"/>
      <c r="BW96" s="9"/>
      <c r="BX96" s="9"/>
      <c r="BY96" s="9"/>
      <c r="BZ96" s="9"/>
      <c r="CA96" s="9"/>
      <c r="CB96" s="9"/>
      <c r="CC96" s="9"/>
      <c r="CD96" s="9"/>
      <c r="CE96" s="9"/>
      <c r="CF96" s="9"/>
      <c r="CG96" s="9"/>
      <c r="CH96" s="9"/>
      <c r="CI96" s="9"/>
      <c r="CJ96" s="9"/>
      <c r="CK96" s="9"/>
      <c r="CL96" s="9"/>
      <c r="CM96" s="9"/>
      <c r="CN96" s="9"/>
      <c r="CO96" s="9"/>
      <c r="CP96" s="9"/>
      <c r="CQ96" s="9"/>
      <c r="CR96" s="9"/>
      <c r="CS96" s="9"/>
    </row>
    <row r="97" spans="1:97" s="11" customFormat="1" ht="10.5" customHeight="1">
      <c r="A97" s="74"/>
      <c r="B97" s="2"/>
      <c r="C97" s="28"/>
      <c r="D97" s="20"/>
      <c r="E97" s="20"/>
      <c r="F97" s="20"/>
      <c r="G97" s="20"/>
      <c r="H97" s="20"/>
      <c r="I97" s="2"/>
      <c r="J97" s="2"/>
      <c r="K97" s="2"/>
      <c r="L97" s="20"/>
      <c r="M97" s="20"/>
      <c r="N97" s="2"/>
      <c r="O97" s="2"/>
      <c r="P97" s="2"/>
      <c r="Q97" s="2"/>
      <c r="R97" s="2"/>
      <c r="S97" s="2"/>
      <c r="T97" s="2"/>
      <c r="U97" s="2"/>
      <c r="V97" s="2"/>
      <c r="W97" s="20"/>
      <c r="X97" s="20"/>
      <c r="Y97" s="2"/>
      <c r="Z97" s="20"/>
      <c r="AA97" s="20"/>
      <c r="AB97" s="20"/>
      <c r="AC97" s="20"/>
      <c r="AD97" s="20"/>
      <c r="AE97" s="20"/>
      <c r="AF97" s="20"/>
      <c r="AG97" s="2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  <c r="AY97" s="9"/>
      <c r="AZ97" s="9"/>
      <c r="BA97" s="9"/>
      <c r="BB97" s="9"/>
      <c r="BC97" s="9"/>
      <c r="BD97" s="9"/>
      <c r="BE97" s="9"/>
      <c r="BF97" s="9"/>
      <c r="BG97" s="9"/>
      <c r="BH97" s="9"/>
      <c r="BI97" s="9"/>
      <c r="BJ97" s="9"/>
      <c r="BK97" s="9"/>
      <c r="BL97" s="9"/>
      <c r="BM97" s="9"/>
      <c r="BN97" s="9"/>
      <c r="BO97" s="9"/>
      <c r="BP97" s="9"/>
      <c r="BQ97" s="9"/>
      <c r="BR97" s="9"/>
      <c r="BS97" s="9"/>
      <c r="BT97" s="9"/>
      <c r="BU97" s="9"/>
      <c r="BV97" s="9"/>
      <c r="BW97" s="9"/>
      <c r="BX97" s="9"/>
      <c r="BY97" s="9"/>
      <c r="BZ97" s="9"/>
      <c r="CA97" s="9"/>
      <c r="CB97" s="9"/>
      <c r="CC97" s="9"/>
      <c r="CD97" s="9"/>
      <c r="CE97" s="9"/>
      <c r="CF97" s="9"/>
      <c r="CG97" s="9"/>
      <c r="CH97" s="9"/>
      <c r="CI97" s="9"/>
      <c r="CJ97" s="9"/>
      <c r="CK97" s="9"/>
      <c r="CL97" s="9"/>
      <c r="CM97" s="9"/>
      <c r="CN97" s="9"/>
      <c r="CO97" s="9"/>
      <c r="CP97" s="9"/>
      <c r="CQ97" s="9"/>
      <c r="CR97" s="9"/>
      <c r="CS97" s="9"/>
    </row>
    <row r="98" spans="1:97" s="16" customFormat="1" ht="10.5" customHeight="1">
      <c r="A98" s="77"/>
      <c r="B98" s="13" t="s">
        <v>157</v>
      </c>
      <c r="C98" s="14">
        <f>SUM(C92:C97)</f>
        <v>595</v>
      </c>
      <c r="D98" s="14">
        <f t="shared" ref="D98:AG98" si="10">SUM(D92:D97)</f>
        <v>0</v>
      </c>
      <c r="E98" s="14">
        <f t="shared" si="10"/>
        <v>46</v>
      </c>
      <c r="F98" s="14">
        <f t="shared" si="10"/>
        <v>0</v>
      </c>
      <c r="G98" s="14">
        <f t="shared" si="10"/>
        <v>12</v>
      </c>
      <c r="H98" s="14">
        <f t="shared" si="10"/>
        <v>0</v>
      </c>
      <c r="I98" s="14">
        <f t="shared" si="10"/>
        <v>0</v>
      </c>
      <c r="J98" s="14">
        <f t="shared" si="10"/>
        <v>0</v>
      </c>
      <c r="K98" s="14">
        <f t="shared" si="10"/>
        <v>0</v>
      </c>
      <c r="L98" s="14">
        <f t="shared" si="10"/>
        <v>16</v>
      </c>
      <c r="M98" s="14">
        <f t="shared" si="10"/>
        <v>0</v>
      </c>
      <c r="N98" s="14">
        <f t="shared" si="10"/>
        <v>0</v>
      </c>
      <c r="O98" s="14">
        <f t="shared" si="10"/>
        <v>0</v>
      </c>
      <c r="P98" s="14">
        <f t="shared" si="10"/>
        <v>0</v>
      </c>
      <c r="Q98" s="14">
        <f t="shared" si="10"/>
        <v>0</v>
      </c>
      <c r="R98" s="14">
        <f t="shared" si="10"/>
        <v>132.60869565217391</v>
      </c>
      <c r="S98" s="14">
        <f t="shared" si="10"/>
        <v>180</v>
      </c>
      <c r="T98" s="14">
        <f t="shared" si="10"/>
        <v>125</v>
      </c>
      <c r="U98" s="14">
        <f t="shared" si="10"/>
        <v>0</v>
      </c>
      <c r="V98" s="14">
        <f t="shared" si="10"/>
        <v>5</v>
      </c>
      <c r="W98" s="14">
        <f t="shared" si="10"/>
        <v>6</v>
      </c>
      <c r="X98" s="14">
        <f t="shared" si="10"/>
        <v>0</v>
      </c>
      <c r="Y98" s="14">
        <f t="shared" si="10"/>
        <v>4</v>
      </c>
      <c r="Z98" s="14">
        <f t="shared" si="10"/>
        <v>21.15</v>
      </c>
      <c r="AA98" s="14">
        <f t="shared" si="10"/>
        <v>0</v>
      </c>
      <c r="AB98" s="14">
        <f t="shared" si="10"/>
        <v>0</v>
      </c>
      <c r="AC98" s="14">
        <f t="shared" si="10"/>
        <v>1.5</v>
      </c>
      <c r="AD98" s="14">
        <f t="shared" si="10"/>
        <v>0</v>
      </c>
      <c r="AE98" s="14">
        <f t="shared" si="10"/>
        <v>0</v>
      </c>
      <c r="AF98" s="14">
        <f t="shared" si="10"/>
        <v>0</v>
      </c>
      <c r="AG98" s="14">
        <f t="shared" si="10"/>
        <v>0</v>
      </c>
      <c r="AH98" s="15"/>
      <c r="AI98" s="15"/>
      <c r="AJ98" s="15"/>
      <c r="AK98" s="15"/>
      <c r="AL98" s="15"/>
      <c r="AM98" s="15"/>
      <c r="AN98" s="15"/>
      <c r="AO98" s="15"/>
      <c r="AP98" s="15"/>
      <c r="AQ98" s="15"/>
      <c r="AR98" s="15"/>
      <c r="AS98" s="15"/>
      <c r="AT98" s="15"/>
      <c r="AU98" s="15"/>
      <c r="AV98" s="15"/>
      <c r="AW98" s="15"/>
      <c r="AX98" s="15"/>
      <c r="AY98" s="15"/>
      <c r="AZ98" s="15"/>
      <c r="BA98" s="15"/>
      <c r="BB98" s="15"/>
      <c r="BC98" s="15"/>
      <c r="BD98" s="15"/>
      <c r="BE98" s="15"/>
      <c r="BF98" s="15"/>
      <c r="BG98" s="15"/>
      <c r="BH98" s="15"/>
      <c r="BI98" s="15"/>
      <c r="BJ98" s="15"/>
      <c r="BK98" s="15"/>
      <c r="BL98" s="15"/>
      <c r="BM98" s="15"/>
      <c r="BN98" s="15"/>
      <c r="BO98" s="15"/>
      <c r="BP98" s="15"/>
      <c r="BQ98" s="15"/>
      <c r="BR98" s="15"/>
      <c r="BS98" s="15"/>
      <c r="BT98" s="15"/>
      <c r="BU98" s="15"/>
      <c r="BV98" s="15"/>
      <c r="BW98" s="15"/>
      <c r="BX98" s="15"/>
      <c r="BY98" s="15"/>
      <c r="BZ98" s="15"/>
      <c r="CA98" s="15"/>
      <c r="CB98" s="15"/>
      <c r="CC98" s="15"/>
      <c r="CD98" s="15"/>
      <c r="CE98" s="15"/>
      <c r="CF98" s="15"/>
      <c r="CG98" s="15"/>
      <c r="CH98" s="15"/>
      <c r="CI98" s="15"/>
      <c r="CJ98" s="15"/>
      <c r="CK98" s="15"/>
      <c r="CL98" s="15"/>
      <c r="CM98" s="15"/>
      <c r="CN98" s="15"/>
      <c r="CO98" s="15"/>
      <c r="CP98" s="15"/>
      <c r="CQ98" s="15"/>
      <c r="CR98" s="15"/>
      <c r="CS98" s="15"/>
    </row>
    <row r="99" spans="1:97" s="15" customFormat="1" ht="10.5" customHeight="1">
      <c r="A99" s="79"/>
      <c r="B99" s="23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</row>
    <row r="100" spans="1:97" s="25" customFormat="1" ht="10.5" customHeight="1">
      <c r="A100" s="189" t="s">
        <v>118</v>
      </c>
      <c r="B100" s="190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15"/>
      <c r="AI100" s="15"/>
      <c r="AJ100" s="15"/>
      <c r="AK100" s="15"/>
      <c r="AL100" s="15"/>
      <c r="AM100" s="15"/>
      <c r="AN100" s="15"/>
      <c r="AO100" s="15"/>
      <c r="AP100" s="15"/>
      <c r="AQ100" s="15"/>
      <c r="AR100" s="15"/>
      <c r="AS100" s="15"/>
      <c r="AT100" s="15"/>
      <c r="AU100" s="15"/>
      <c r="AV100" s="15"/>
      <c r="AW100" s="15"/>
      <c r="AX100" s="15"/>
      <c r="AY100" s="15"/>
      <c r="AZ100" s="15"/>
      <c r="BA100" s="15"/>
      <c r="BB100" s="15"/>
      <c r="BC100" s="15"/>
      <c r="BD100" s="15"/>
      <c r="BE100" s="15"/>
      <c r="BF100" s="15"/>
      <c r="BG100" s="15"/>
      <c r="BH100" s="15"/>
      <c r="BI100" s="15"/>
      <c r="BJ100" s="15"/>
      <c r="BK100" s="15"/>
      <c r="BL100" s="15"/>
      <c r="BM100" s="15"/>
      <c r="BN100" s="15"/>
      <c r="BO100" s="15"/>
      <c r="BP100" s="15"/>
      <c r="BQ100" s="15"/>
      <c r="BR100" s="15"/>
      <c r="BS100" s="15"/>
      <c r="BT100" s="15"/>
      <c r="BU100" s="15"/>
      <c r="BV100" s="15"/>
      <c r="BW100" s="15"/>
      <c r="BX100" s="15"/>
      <c r="BY100" s="15"/>
      <c r="BZ100" s="15"/>
      <c r="CA100" s="15"/>
      <c r="CB100" s="15"/>
      <c r="CC100" s="15"/>
      <c r="CD100" s="15"/>
      <c r="CE100" s="15"/>
      <c r="CF100" s="15"/>
      <c r="CG100" s="15"/>
      <c r="CH100" s="15"/>
      <c r="CI100" s="15"/>
      <c r="CJ100" s="15"/>
      <c r="CK100" s="15"/>
      <c r="CL100" s="15"/>
      <c r="CM100" s="15"/>
      <c r="CN100" s="15"/>
      <c r="CO100" s="15"/>
      <c r="CP100" s="15"/>
      <c r="CQ100" s="15"/>
      <c r="CR100" s="15"/>
      <c r="CS100" s="15"/>
    </row>
    <row r="101" spans="1:97" s="11" customFormat="1" ht="10.5" customHeight="1">
      <c r="A101" s="110"/>
      <c r="B101" s="111" t="s">
        <v>120</v>
      </c>
      <c r="C101" s="2">
        <v>70</v>
      </c>
      <c r="D101" s="2"/>
      <c r="E101" s="2"/>
      <c r="F101" s="2"/>
      <c r="G101" s="2"/>
      <c r="H101" s="2"/>
      <c r="I101" s="2"/>
      <c r="J101" s="2">
        <v>70</v>
      </c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9"/>
      <c r="AI101" s="9"/>
      <c r="AJ101" s="9"/>
      <c r="AK101" s="9"/>
      <c r="AL101" s="9"/>
      <c r="AM101" s="9"/>
      <c r="AN101" s="9"/>
      <c r="AO101" s="9"/>
      <c r="AP101" s="9"/>
      <c r="AQ101" s="9"/>
      <c r="AR101" s="9"/>
      <c r="AS101" s="9"/>
      <c r="AT101" s="9"/>
      <c r="AU101" s="9"/>
      <c r="AV101" s="9"/>
      <c r="AW101" s="9"/>
      <c r="AX101" s="9"/>
      <c r="AY101" s="9"/>
      <c r="AZ101" s="9"/>
      <c r="BA101" s="9"/>
      <c r="BB101" s="9"/>
      <c r="BC101" s="9"/>
      <c r="BD101" s="9"/>
      <c r="BE101" s="9"/>
      <c r="BF101" s="9"/>
      <c r="BG101" s="9"/>
      <c r="BH101" s="9"/>
      <c r="BI101" s="9"/>
      <c r="BJ101" s="9"/>
      <c r="BK101" s="9"/>
      <c r="BL101" s="9"/>
      <c r="BM101" s="9"/>
      <c r="BN101" s="9"/>
      <c r="BO101" s="9"/>
      <c r="BP101" s="9"/>
      <c r="BQ101" s="9"/>
      <c r="BR101" s="9"/>
      <c r="BS101" s="9"/>
      <c r="BT101" s="9"/>
      <c r="BU101" s="9"/>
      <c r="BV101" s="9"/>
      <c r="BW101" s="9"/>
      <c r="BX101" s="9"/>
      <c r="BY101" s="9"/>
      <c r="BZ101" s="9"/>
      <c r="CA101" s="9"/>
      <c r="CB101" s="9"/>
      <c r="CC101" s="9"/>
      <c r="CD101" s="9"/>
      <c r="CE101" s="9"/>
      <c r="CF101" s="9"/>
      <c r="CG101" s="9"/>
      <c r="CH101" s="9"/>
      <c r="CI101" s="9"/>
      <c r="CJ101" s="9"/>
      <c r="CK101" s="9"/>
      <c r="CL101" s="9"/>
      <c r="CM101" s="9"/>
      <c r="CN101" s="9"/>
      <c r="CO101" s="9"/>
      <c r="CP101" s="9"/>
      <c r="CQ101" s="9"/>
      <c r="CR101" s="9"/>
      <c r="CS101" s="9"/>
    </row>
    <row r="102" spans="1:97" s="11" customFormat="1" ht="10.5" customHeight="1">
      <c r="A102" s="110">
        <v>297</v>
      </c>
      <c r="B102" s="111" t="s">
        <v>87</v>
      </c>
      <c r="C102" s="2">
        <v>63</v>
      </c>
      <c r="D102" s="2"/>
      <c r="E102" s="2">
        <v>10.6</v>
      </c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>
        <f>37*1.2</f>
        <v>44.4</v>
      </c>
      <c r="Q102" s="2"/>
      <c r="R102" s="2">
        <v>14</v>
      </c>
      <c r="S102" s="2"/>
      <c r="T102" s="2"/>
      <c r="U102" s="2"/>
      <c r="V102" s="2"/>
      <c r="W102" s="2">
        <v>3</v>
      </c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9"/>
      <c r="AI102" s="9"/>
      <c r="AJ102" s="9"/>
      <c r="AK102" s="9"/>
      <c r="AL102" s="9"/>
      <c r="AM102" s="9"/>
      <c r="AN102" s="9"/>
      <c r="AO102" s="9"/>
      <c r="AP102" s="9"/>
      <c r="AQ102" s="9"/>
      <c r="AR102" s="9"/>
      <c r="AS102" s="9"/>
      <c r="AT102" s="9"/>
      <c r="AU102" s="9"/>
      <c r="AV102" s="9"/>
      <c r="AW102" s="9"/>
      <c r="AX102" s="9"/>
      <c r="AY102" s="9"/>
      <c r="AZ102" s="9"/>
      <c r="BA102" s="9"/>
      <c r="BB102" s="9"/>
      <c r="BC102" s="9"/>
      <c r="BD102" s="9"/>
      <c r="BE102" s="9"/>
      <c r="BF102" s="9"/>
      <c r="BG102" s="9"/>
      <c r="BH102" s="9"/>
      <c r="BI102" s="9"/>
      <c r="BJ102" s="9"/>
      <c r="BK102" s="9"/>
      <c r="BL102" s="9"/>
      <c r="BM102" s="9"/>
      <c r="BN102" s="9"/>
      <c r="BO102" s="9"/>
      <c r="BP102" s="9"/>
      <c r="BQ102" s="9"/>
      <c r="BR102" s="9"/>
      <c r="BS102" s="9"/>
      <c r="BT102" s="9"/>
      <c r="BU102" s="9"/>
      <c r="BV102" s="9"/>
      <c r="BW102" s="9"/>
      <c r="BX102" s="9"/>
      <c r="BY102" s="9"/>
      <c r="BZ102" s="9"/>
      <c r="CA102" s="9"/>
      <c r="CB102" s="9"/>
      <c r="CC102" s="9"/>
      <c r="CD102" s="9"/>
      <c r="CE102" s="9"/>
      <c r="CF102" s="9"/>
      <c r="CG102" s="9"/>
      <c r="CH102" s="9"/>
      <c r="CI102" s="9"/>
      <c r="CJ102" s="9"/>
      <c r="CK102" s="9"/>
      <c r="CL102" s="9"/>
      <c r="CM102" s="9"/>
      <c r="CN102" s="9"/>
      <c r="CO102" s="9"/>
      <c r="CP102" s="9"/>
      <c r="CQ102" s="9"/>
      <c r="CR102" s="9"/>
      <c r="CS102" s="9"/>
    </row>
    <row r="103" spans="1:97" s="11" customFormat="1" ht="10.5" customHeight="1">
      <c r="A103" s="117">
        <v>203</v>
      </c>
      <c r="B103" s="115" t="s">
        <v>36</v>
      </c>
      <c r="C103" s="20">
        <v>110</v>
      </c>
      <c r="D103" s="2"/>
      <c r="E103" s="2"/>
      <c r="F103" s="2"/>
      <c r="G103" s="2"/>
      <c r="H103" s="2">
        <v>37</v>
      </c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>
        <v>5</v>
      </c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9"/>
      <c r="AI103" s="9"/>
      <c r="AJ103" s="9"/>
      <c r="AK103" s="9"/>
      <c r="AL103" s="9"/>
      <c r="AM103" s="9"/>
      <c r="AN103" s="9"/>
      <c r="AO103" s="9"/>
      <c r="AP103" s="9"/>
      <c r="AQ103" s="9"/>
      <c r="AR103" s="9"/>
      <c r="AS103" s="9"/>
      <c r="AT103" s="9"/>
      <c r="AU103" s="9"/>
      <c r="AV103" s="9"/>
      <c r="AW103" s="9"/>
      <c r="AX103" s="9"/>
      <c r="AY103" s="9"/>
      <c r="AZ103" s="9"/>
      <c r="BA103" s="9"/>
      <c r="BB103" s="9"/>
      <c r="BC103" s="9"/>
      <c r="BD103" s="9"/>
      <c r="BE103" s="9"/>
      <c r="BF103" s="9"/>
      <c r="BG103" s="9"/>
      <c r="BH103" s="9"/>
      <c r="BI103" s="9"/>
      <c r="BJ103" s="9"/>
      <c r="BK103" s="9"/>
      <c r="BL103" s="9"/>
      <c r="BM103" s="9"/>
      <c r="BN103" s="9"/>
      <c r="BO103" s="9"/>
      <c r="BP103" s="9"/>
      <c r="BQ103" s="9"/>
      <c r="BR103" s="9"/>
      <c r="BS103" s="9"/>
      <c r="BT103" s="9"/>
      <c r="BU103" s="9"/>
      <c r="BV103" s="9"/>
      <c r="BW103" s="9"/>
      <c r="BX103" s="9"/>
      <c r="BY103" s="9"/>
      <c r="BZ103" s="9"/>
      <c r="CA103" s="9"/>
      <c r="CB103" s="9"/>
      <c r="CC103" s="9"/>
      <c r="CD103" s="9"/>
      <c r="CE103" s="9"/>
      <c r="CF103" s="9"/>
      <c r="CG103" s="9"/>
      <c r="CH103" s="9"/>
      <c r="CI103" s="9"/>
      <c r="CJ103" s="9"/>
      <c r="CK103" s="9"/>
      <c r="CL103" s="9"/>
      <c r="CM103" s="9"/>
      <c r="CN103" s="9"/>
      <c r="CO103" s="9"/>
      <c r="CP103" s="9"/>
      <c r="CQ103" s="9"/>
      <c r="CR103" s="9"/>
      <c r="CS103" s="9"/>
    </row>
    <row r="104" spans="1:97" s="11" customFormat="1" ht="10.5" customHeight="1">
      <c r="A104" s="110">
        <v>379</v>
      </c>
      <c r="B104" s="111" t="s">
        <v>66</v>
      </c>
      <c r="C104" s="2">
        <v>200</v>
      </c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>
        <v>100</v>
      </c>
      <c r="S104" s="2"/>
      <c r="T104" s="2"/>
      <c r="U104" s="2"/>
      <c r="V104" s="2"/>
      <c r="W104" s="2"/>
      <c r="X104" s="2"/>
      <c r="Y104" s="2"/>
      <c r="Z104" s="2">
        <v>10</v>
      </c>
      <c r="AA104" s="2"/>
      <c r="AB104" s="2"/>
      <c r="AC104" s="2"/>
      <c r="AD104" s="2">
        <v>2.5</v>
      </c>
      <c r="AE104" s="2"/>
      <c r="AF104" s="2"/>
      <c r="AG104" s="2"/>
      <c r="AH104" s="9"/>
      <c r="AI104" s="9"/>
      <c r="AJ104" s="9"/>
      <c r="AK104" s="9"/>
      <c r="AL104" s="9"/>
      <c r="AM104" s="9"/>
      <c r="AN104" s="9"/>
      <c r="AO104" s="9"/>
      <c r="AP104" s="9"/>
      <c r="AQ104" s="9"/>
      <c r="AR104" s="9"/>
      <c r="AS104" s="9"/>
      <c r="AT104" s="9"/>
      <c r="AU104" s="9"/>
      <c r="AV104" s="9"/>
      <c r="AW104" s="9"/>
      <c r="AX104" s="9"/>
      <c r="AY104" s="9"/>
      <c r="AZ104" s="9"/>
      <c r="BA104" s="9"/>
      <c r="BB104" s="9"/>
      <c r="BC104" s="9"/>
      <c r="BD104" s="9"/>
      <c r="BE104" s="9"/>
      <c r="BF104" s="9"/>
      <c r="BG104" s="9"/>
      <c r="BH104" s="9"/>
      <c r="BI104" s="9"/>
      <c r="BJ104" s="9"/>
      <c r="BK104" s="9"/>
      <c r="BL104" s="9"/>
      <c r="BM104" s="9"/>
      <c r="BN104" s="9"/>
      <c r="BO104" s="9"/>
      <c r="BP104" s="9"/>
      <c r="BQ104" s="9"/>
      <c r="BR104" s="9"/>
      <c r="BS104" s="9"/>
      <c r="BT104" s="9"/>
      <c r="BU104" s="9"/>
      <c r="BV104" s="9"/>
      <c r="BW104" s="9"/>
      <c r="BX104" s="9"/>
      <c r="BY104" s="9"/>
      <c r="BZ104" s="9"/>
      <c r="CA104" s="9"/>
      <c r="CB104" s="9"/>
      <c r="CC104" s="9"/>
      <c r="CD104" s="9"/>
      <c r="CE104" s="9"/>
      <c r="CF104" s="9"/>
      <c r="CG104" s="9"/>
      <c r="CH104" s="9"/>
      <c r="CI104" s="9"/>
      <c r="CJ104" s="9"/>
      <c r="CK104" s="9"/>
      <c r="CL104" s="9"/>
      <c r="CM104" s="9"/>
      <c r="CN104" s="9"/>
      <c r="CO104" s="9"/>
      <c r="CP104" s="9"/>
      <c r="CQ104" s="9"/>
      <c r="CR104" s="9"/>
      <c r="CS104" s="9"/>
    </row>
    <row r="105" spans="1:97" s="11" customFormat="1" ht="10.5" customHeight="1">
      <c r="A105" s="110"/>
      <c r="B105" s="111" t="s">
        <v>128</v>
      </c>
      <c r="C105" s="2">
        <v>25</v>
      </c>
      <c r="D105" s="2">
        <v>25</v>
      </c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9"/>
      <c r="AI105" s="9"/>
      <c r="AJ105" s="9"/>
      <c r="AK105" s="9"/>
      <c r="AL105" s="9"/>
      <c r="AM105" s="9"/>
      <c r="AN105" s="9"/>
      <c r="AO105" s="9"/>
      <c r="AP105" s="9"/>
      <c r="AQ105" s="9"/>
      <c r="AR105" s="9"/>
      <c r="AS105" s="9"/>
      <c r="AT105" s="9"/>
      <c r="AU105" s="9"/>
      <c r="AV105" s="9"/>
      <c r="AW105" s="9"/>
      <c r="AX105" s="9"/>
      <c r="AY105" s="9"/>
      <c r="AZ105" s="9"/>
      <c r="BA105" s="9"/>
      <c r="BB105" s="9"/>
      <c r="BC105" s="9"/>
      <c r="BD105" s="9"/>
      <c r="BE105" s="9"/>
      <c r="BF105" s="9"/>
      <c r="BG105" s="9"/>
      <c r="BH105" s="9"/>
      <c r="BI105" s="9"/>
      <c r="BJ105" s="9"/>
      <c r="BK105" s="9"/>
      <c r="BL105" s="9"/>
      <c r="BM105" s="9"/>
      <c r="BN105" s="9"/>
      <c r="BO105" s="9"/>
      <c r="BP105" s="9"/>
      <c r="BQ105" s="9"/>
      <c r="BR105" s="9"/>
      <c r="BS105" s="9"/>
      <c r="BT105" s="9"/>
      <c r="BU105" s="9"/>
      <c r="BV105" s="9"/>
      <c r="BW105" s="9"/>
      <c r="BX105" s="9"/>
      <c r="BY105" s="9"/>
      <c r="BZ105" s="9"/>
      <c r="CA105" s="9"/>
      <c r="CB105" s="9"/>
      <c r="CC105" s="9"/>
      <c r="CD105" s="9"/>
      <c r="CE105" s="9"/>
      <c r="CF105" s="9"/>
      <c r="CG105" s="9"/>
      <c r="CH105" s="9"/>
      <c r="CI105" s="9"/>
      <c r="CJ105" s="9"/>
      <c r="CK105" s="9"/>
      <c r="CL105" s="9"/>
      <c r="CM105" s="9"/>
      <c r="CN105" s="9"/>
      <c r="CO105" s="9"/>
      <c r="CP105" s="9"/>
      <c r="CQ105" s="9"/>
      <c r="CR105" s="9"/>
      <c r="CS105" s="9"/>
    </row>
    <row r="106" spans="1:97" s="11" customFormat="1" ht="10.5" customHeight="1">
      <c r="A106" s="110"/>
      <c r="B106" s="111" t="s">
        <v>4</v>
      </c>
      <c r="C106" s="2">
        <v>40</v>
      </c>
      <c r="D106" s="2"/>
      <c r="E106" s="2">
        <v>40</v>
      </c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9"/>
      <c r="AI106" s="9"/>
      <c r="AJ106" s="9"/>
      <c r="AK106" s="9"/>
      <c r="AL106" s="9"/>
      <c r="AM106" s="9"/>
      <c r="AN106" s="9"/>
      <c r="AO106" s="9"/>
      <c r="AP106" s="9"/>
      <c r="AQ106" s="9"/>
      <c r="AR106" s="9"/>
      <c r="AS106" s="9"/>
      <c r="AT106" s="9"/>
      <c r="AU106" s="9"/>
      <c r="AV106" s="9"/>
      <c r="AW106" s="9"/>
      <c r="AX106" s="9"/>
      <c r="AY106" s="9"/>
      <c r="AZ106" s="9"/>
      <c r="BA106" s="9"/>
      <c r="BB106" s="9"/>
      <c r="BC106" s="9"/>
      <c r="BD106" s="9"/>
      <c r="BE106" s="9"/>
      <c r="BF106" s="9"/>
      <c r="BG106" s="9"/>
      <c r="BH106" s="9"/>
      <c r="BI106" s="9"/>
      <c r="BJ106" s="9"/>
      <c r="BK106" s="9"/>
      <c r="BL106" s="9"/>
      <c r="BM106" s="9"/>
      <c r="BN106" s="9"/>
      <c r="BO106" s="9"/>
      <c r="BP106" s="9"/>
      <c r="BQ106" s="9"/>
      <c r="BR106" s="9"/>
      <c r="BS106" s="9"/>
      <c r="BT106" s="9"/>
      <c r="BU106" s="9"/>
      <c r="BV106" s="9"/>
      <c r="BW106" s="9"/>
      <c r="BX106" s="9"/>
      <c r="BY106" s="9"/>
      <c r="BZ106" s="9"/>
      <c r="CA106" s="9"/>
      <c r="CB106" s="9"/>
      <c r="CC106" s="9"/>
      <c r="CD106" s="9"/>
      <c r="CE106" s="9"/>
      <c r="CF106" s="9"/>
      <c r="CG106" s="9"/>
      <c r="CH106" s="9"/>
      <c r="CI106" s="9"/>
      <c r="CJ106" s="9"/>
      <c r="CK106" s="9"/>
      <c r="CL106" s="9"/>
      <c r="CM106" s="9"/>
      <c r="CN106" s="9"/>
      <c r="CO106" s="9"/>
      <c r="CP106" s="9"/>
      <c r="CQ106" s="9"/>
      <c r="CR106" s="9"/>
      <c r="CS106" s="9"/>
    </row>
    <row r="107" spans="1:97" s="11" customFormat="1" ht="10.5" customHeight="1">
      <c r="A107" s="110">
        <v>368</v>
      </c>
      <c r="B107" s="111" t="s">
        <v>134</v>
      </c>
      <c r="C107" s="2">
        <v>120</v>
      </c>
      <c r="D107" s="2"/>
      <c r="E107" s="2"/>
      <c r="F107" s="2"/>
      <c r="G107" s="2"/>
      <c r="H107" s="2"/>
      <c r="I107" s="2"/>
      <c r="J107" s="2"/>
      <c r="K107" s="2">
        <v>120</v>
      </c>
      <c r="L107" s="21"/>
      <c r="M107" s="21"/>
      <c r="N107" s="21"/>
      <c r="O107" s="21"/>
      <c r="P107" s="21"/>
      <c r="Q107" s="21"/>
      <c r="R107" s="21"/>
      <c r="S107" s="21"/>
      <c r="T107" s="21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9"/>
      <c r="AI107" s="9"/>
      <c r="AJ107" s="9"/>
      <c r="AK107" s="9"/>
      <c r="AL107" s="9"/>
      <c r="AM107" s="9"/>
      <c r="AN107" s="9"/>
      <c r="AO107" s="9"/>
      <c r="AP107" s="9"/>
      <c r="AQ107" s="9"/>
      <c r="AR107" s="9"/>
      <c r="AS107" s="9"/>
      <c r="AT107" s="9"/>
      <c r="AU107" s="9"/>
      <c r="AV107" s="9"/>
      <c r="AW107" s="9"/>
      <c r="AX107" s="9"/>
      <c r="AY107" s="9"/>
      <c r="AZ107" s="9"/>
      <c r="BA107" s="9"/>
      <c r="BB107" s="9"/>
      <c r="BC107" s="9"/>
      <c r="BD107" s="9"/>
      <c r="BE107" s="9"/>
      <c r="BF107" s="9"/>
      <c r="BG107" s="9"/>
      <c r="BH107" s="9"/>
      <c r="BI107" s="9"/>
      <c r="BJ107" s="9"/>
      <c r="BK107" s="9"/>
      <c r="BL107" s="9"/>
      <c r="BM107" s="9"/>
      <c r="BN107" s="9"/>
      <c r="BO107" s="9"/>
      <c r="BP107" s="9"/>
      <c r="BQ107" s="9"/>
      <c r="BR107" s="9"/>
      <c r="BS107" s="9"/>
      <c r="BT107" s="9"/>
      <c r="BU107" s="9"/>
      <c r="BV107" s="9"/>
      <c r="BW107" s="9"/>
      <c r="BX107" s="9"/>
      <c r="BY107" s="9"/>
      <c r="BZ107" s="9"/>
      <c r="CA107" s="9"/>
      <c r="CB107" s="9"/>
      <c r="CC107" s="9"/>
      <c r="CD107" s="9"/>
      <c r="CE107" s="9"/>
      <c r="CF107" s="9"/>
      <c r="CG107" s="9"/>
      <c r="CH107" s="9"/>
      <c r="CI107" s="9"/>
      <c r="CJ107" s="9"/>
      <c r="CK107" s="9"/>
      <c r="CL107" s="9"/>
      <c r="CM107" s="9"/>
      <c r="CN107" s="9"/>
      <c r="CO107" s="9"/>
      <c r="CP107" s="9"/>
      <c r="CQ107" s="9"/>
      <c r="CR107" s="9"/>
      <c r="CS107" s="9"/>
    </row>
    <row r="108" spans="1:97" s="11" customFormat="1" ht="10.5" customHeight="1">
      <c r="A108" s="74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9"/>
      <c r="AI108" s="9"/>
      <c r="AJ108" s="9"/>
      <c r="AK108" s="9"/>
      <c r="AL108" s="9"/>
      <c r="AM108" s="9"/>
      <c r="AN108" s="9"/>
      <c r="AO108" s="9"/>
      <c r="AP108" s="9"/>
      <c r="AQ108" s="9"/>
      <c r="AR108" s="9"/>
      <c r="AS108" s="9"/>
      <c r="AT108" s="9"/>
      <c r="AU108" s="9"/>
      <c r="AV108" s="9"/>
      <c r="AW108" s="9"/>
      <c r="AX108" s="9"/>
      <c r="AY108" s="9"/>
      <c r="AZ108" s="9"/>
      <c r="BA108" s="9"/>
      <c r="BB108" s="9"/>
      <c r="BC108" s="9"/>
      <c r="BD108" s="9"/>
      <c r="BE108" s="9"/>
      <c r="BF108" s="9"/>
      <c r="BG108" s="9"/>
      <c r="BH108" s="9"/>
      <c r="BI108" s="9"/>
      <c r="BJ108" s="9"/>
      <c r="BK108" s="9"/>
      <c r="BL108" s="9"/>
      <c r="BM108" s="9"/>
      <c r="BN108" s="9"/>
      <c r="BO108" s="9"/>
      <c r="BP108" s="9"/>
      <c r="BQ108" s="9"/>
      <c r="BR108" s="9"/>
      <c r="BS108" s="9"/>
      <c r="BT108" s="9"/>
      <c r="BU108" s="9"/>
      <c r="BV108" s="9"/>
      <c r="BW108" s="9"/>
      <c r="BX108" s="9"/>
      <c r="BY108" s="9"/>
      <c r="BZ108" s="9"/>
      <c r="CA108" s="9"/>
      <c r="CB108" s="9"/>
      <c r="CC108" s="9"/>
      <c r="CD108" s="9"/>
      <c r="CE108" s="9"/>
      <c r="CF108" s="9"/>
      <c r="CG108" s="9"/>
      <c r="CH108" s="9"/>
      <c r="CI108" s="9"/>
      <c r="CJ108" s="9"/>
      <c r="CK108" s="9"/>
      <c r="CL108" s="9"/>
      <c r="CM108" s="9"/>
      <c r="CN108" s="9"/>
      <c r="CO108" s="9"/>
      <c r="CP108" s="9"/>
      <c r="CQ108" s="9"/>
      <c r="CR108" s="9"/>
      <c r="CS108" s="9"/>
    </row>
    <row r="109" spans="1:97" s="16" customFormat="1" ht="10.5" customHeight="1">
      <c r="A109" s="77"/>
      <c r="B109" s="13" t="s">
        <v>157</v>
      </c>
      <c r="C109" s="14">
        <f t="shared" ref="C109:AG109" si="11">SUM(C101:C107)</f>
        <v>628</v>
      </c>
      <c r="D109" s="14">
        <f t="shared" si="11"/>
        <v>25</v>
      </c>
      <c r="E109" s="14">
        <f t="shared" si="11"/>
        <v>50.6</v>
      </c>
      <c r="F109" s="14">
        <f t="shared" si="11"/>
        <v>0</v>
      </c>
      <c r="G109" s="14">
        <f t="shared" si="11"/>
        <v>0</v>
      </c>
      <c r="H109" s="14">
        <f t="shared" si="11"/>
        <v>37</v>
      </c>
      <c r="I109" s="14">
        <f t="shared" si="11"/>
        <v>0</v>
      </c>
      <c r="J109" s="14">
        <f t="shared" si="11"/>
        <v>70</v>
      </c>
      <c r="K109" s="14">
        <f t="shared" si="11"/>
        <v>120</v>
      </c>
      <c r="L109" s="14">
        <f t="shared" si="11"/>
        <v>0</v>
      </c>
      <c r="M109" s="14">
        <f t="shared" si="11"/>
        <v>0</v>
      </c>
      <c r="N109" s="14">
        <f t="shared" si="11"/>
        <v>0</v>
      </c>
      <c r="O109" s="14">
        <f t="shared" si="11"/>
        <v>0</v>
      </c>
      <c r="P109" s="14">
        <f t="shared" si="11"/>
        <v>44.4</v>
      </c>
      <c r="Q109" s="14">
        <f t="shared" si="11"/>
        <v>0</v>
      </c>
      <c r="R109" s="14">
        <f t="shared" si="11"/>
        <v>114</v>
      </c>
      <c r="S109" s="14">
        <f t="shared" si="11"/>
        <v>0</v>
      </c>
      <c r="T109" s="14">
        <f t="shared" si="11"/>
        <v>0</v>
      </c>
      <c r="U109" s="14">
        <f t="shared" si="11"/>
        <v>0</v>
      </c>
      <c r="V109" s="14">
        <f t="shared" si="11"/>
        <v>0</v>
      </c>
      <c r="W109" s="14">
        <f t="shared" si="11"/>
        <v>8</v>
      </c>
      <c r="X109" s="14">
        <f t="shared" si="11"/>
        <v>0</v>
      </c>
      <c r="Y109" s="14">
        <f t="shared" si="11"/>
        <v>0</v>
      </c>
      <c r="Z109" s="14">
        <f t="shared" si="11"/>
        <v>10</v>
      </c>
      <c r="AA109" s="14">
        <f t="shared" si="11"/>
        <v>0</v>
      </c>
      <c r="AB109" s="14">
        <f t="shared" si="11"/>
        <v>0</v>
      </c>
      <c r="AC109" s="14">
        <f t="shared" si="11"/>
        <v>0</v>
      </c>
      <c r="AD109" s="14">
        <f t="shared" si="11"/>
        <v>2.5</v>
      </c>
      <c r="AE109" s="14">
        <f t="shared" si="11"/>
        <v>0</v>
      </c>
      <c r="AF109" s="14">
        <f t="shared" si="11"/>
        <v>0</v>
      </c>
      <c r="AG109" s="14">
        <f t="shared" si="11"/>
        <v>0</v>
      </c>
      <c r="AH109" s="15"/>
      <c r="AI109" s="15"/>
      <c r="AJ109" s="15"/>
      <c r="AK109" s="15"/>
      <c r="AL109" s="15"/>
      <c r="AM109" s="15"/>
      <c r="AN109" s="15"/>
      <c r="AO109" s="15"/>
      <c r="AP109" s="15"/>
      <c r="AQ109" s="15"/>
      <c r="AR109" s="15"/>
      <c r="AS109" s="15"/>
      <c r="AT109" s="15"/>
      <c r="AU109" s="15"/>
      <c r="AV109" s="15"/>
      <c r="AW109" s="15"/>
      <c r="AX109" s="15"/>
      <c r="AY109" s="15"/>
      <c r="AZ109" s="15"/>
      <c r="BA109" s="15"/>
      <c r="BB109" s="15"/>
      <c r="BC109" s="15"/>
      <c r="BD109" s="15"/>
      <c r="BE109" s="15"/>
      <c r="BF109" s="15"/>
      <c r="BG109" s="15"/>
      <c r="BH109" s="15"/>
      <c r="BI109" s="15"/>
      <c r="BJ109" s="15"/>
      <c r="BK109" s="15"/>
      <c r="BL109" s="15"/>
      <c r="BM109" s="15"/>
      <c r="BN109" s="15"/>
      <c r="BO109" s="15"/>
      <c r="BP109" s="15"/>
      <c r="BQ109" s="15"/>
      <c r="BR109" s="15"/>
      <c r="BS109" s="15"/>
      <c r="BT109" s="15"/>
      <c r="BU109" s="15"/>
      <c r="BV109" s="15"/>
      <c r="BW109" s="15"/>
      <c r="BX109" s="15"/>
      <c r="BY109" s="15"/>
      <c r="BZ109" s="15"/>
      <c r="CA109" s="15"/>
      <c r="CB109" s="15"/>
      <c r="CC109" s="15"/>
      <c r="CD109" s="15"/>
      <c r="CE109" s="15"/>
      <c r="CF109" s="15"/>
      <c r="CG109" s="15"/>
      <c r="CH109" s="15"/>
      <c r="CI109" s="15"/>
      <c r="CJ109" s="15"/>
      <c r="CK109" s="15"/>
      <c r="CL109" s="15"/>
      <c r="CM109" s="15"/>
      <c r="CN109" s="15"/>
      <c r="CO109" s="15"/>
      <c r="CP109" s="15"/>
      <c r="CQ109" s="15"/>
      <c r="CR109" s="15"/>
      <c r="CS109" s="15"/>
    </row>
    <row r="110" spans="1:97" s="15" customFormat="1" ht="29.25" customHeight="1">
      <c r="A110" s="79"/>
      <c r="B110" s="22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</row>
    <row r="111" spans="1:97" s="140" customFormat="1" ht="38.25" customHeight="1">
      <c r="A111" s="137"/>
      <c r="B111" s="138" t="s">
        <v>147</v>
      </c>
      <c r="C111" s="141" t="s">
        <v>77</v>
      </c>
      <c r="D111" s="141" t="s">
        <v>12</v>
      </c>
      <c r="E111" s="141" t="s">
        <v>13</v>
      </c>
      <c r="F111" s="141" t="s">
        <v>15</v>
      </c>
      <c r="G111" s="141" t="s">
        <v>14</v>
      </c>
      <c r="H111" s="141" t="s">
        <v>141</v>
      </c>
      <c r="I111" s="141" t="s">
        <v>11</v>
      </c>
      <c r="J111" s="141" t="s">
        <v>64</v>
      </c>
      <c r="K111" s="141" t="s">
        <v>5</v>
      </c>
      <c r="L111" s="141" t="s">
        <v>139</v>
      </c>
      <c r="M111" s="141" t="s">
        <v>142</v>
      </c>
      <c r="N111" s="141" t="s">
        <v>7</v>
      </c>
      <c r="O111" s="141" t="s">
        <v>93</v>
      </c>
      <c r="P111" s="141" t="s">
        <v>8</v>
      </c>
      <c r="Q111" s="141" t="s">
        <v>9</v>
      </c>
      <c r="R111" s="141" t="s">
        <v>67</v>
      </c>
      <c r="S111" s="141" t="s">
        <v>143</v>
      </c>
      <c r="T111" s="141" t="s">
        <v>68</v>
      </c>
      <c r="U111" s="141" t="s">
        <v>40</v>
      </c>
      <c r="V111" s="141" t="s">
        <v>37</v>
      </c>
      <c r="W111" s="141" t="s">
        <v>20</v>
      </c>
      <c r="X111" s="141" t="s">
        <v>144</v>
      </c>
      <c r="Y111" s="141" t="s">
        <v>10</v>
      </c>
      <c r="Z111" s="141" t="s">
        <v>18</v>
      </c>
      <c r="AA111" s="141" t="s">
        <v>145</v>
      </c>
      <c r="AB111" s="141" t="s">
        <v>16</v>
      </c>
      <c r="AC111" s="141" t="s">
        <v>17</v>
      </c>
      <c r="AD111" s="141" t="s">
        <v>57</v>
      </c>
      <c r="AE111" s="141" t="s">
        <v>19</v>
      </c>
      <c r="AF111" s="141" t="s">
        <v>146</v>
      </c>
      <c r="AG111" s="138" t="s">
        <v>59</v>
      </c>
      <c r="AH111" s="139"/>
      <c r="AI111" s="139"/>
      <c r="AJ111" s="139"/>
      <c r="AK111" s="139"/>
      <c r="AL111" s="139"/>
      <c r="AM111" s="139"/>
      <c r="AN111" s="139"/>
      <c r="AO111" s="139"/>
      <c r="AP111" s="139"/>
      <c r="AQ111" s="139"/>
      <c r="AR111" s="139"/>
      <c r="AS111" s="139"/>
      <c r="AT111" s="139"/>
      <c r="AU111" s="139"/>
      <c r="AV111" s="139"/>
      <c r="AW111" s="139"/>
      <c r="AX111" s="139"/>
      <c r="AY111" s="139"/>
      <c r="AZ111" s="139"/>
      <c r="BA111" s="139"/>
      <c r="BB111" s="139"/>
      <c r="BC111" s="139"/>
      <c r="BD111" s="139"/>
      <c r="BE111" s="139"/>
      <c r="BF111" s="139"/>
      <c r="BG111" s="139"/>
      <c r="BH111" s="139"/>
      <c r="BI111" s="139"/>
      <c r="BJ111" s="139"/>
      <c r="BK111" s="139"/>
      <c r="BL111" s="139"/>
      <c r="BM111" s="139"/>
      <c r="BN111" s="139"/>
      <c r="BO111" s="139"/>
      <c r="BP111" s="139"/>
      <c r="BQ111" s="139"/>
      <c r="BR111" s="139"/>
      <c r="BS111" s="139"/>
      <c r="BT111" s="139"/>
      <c r="BU111" s="139"/>
      <c r="BV111" s="139"/>
      <c r="BW111" s="139"/>
      <c r="BX111" s="139"/>
      <c r="BY111" s="139"/>
      <c r="BZ111" s="139"/>
      <c r="CA111" s="139"/>
      <c r="CB111" s="139"/>
      <c r="CC111" s="139"/>
      <c r="CD111" s="139"/>
      <c r="CE111" s="139"/>
      <c r="CF111" s="139"/>
      <c r="CG111" s="139"/>
      <c r="CH111" s="139"/>
      <c r="CI111" s="139"/>
      <c r="CJ111" s="139"/>
      <c r="CK111" s="139"/>
      <c r="CL111" s="139"/>
      <c r="CM111" s="139"/>
      <c r="CN111" s="139"/>
      <c r="CO111" s="139"/>
      <c r="CP111" s="139"/>
      <c r="CQ111" s="139"/>
      <c r="CR111" s="139"/>
      <c r="CS111" s="139"/>
    </row>
    <row r="112" spans="1:97" s="25" customFormat="1" ht="24" customHeight="1">
      <c r="A112" s="81"/>
      <c r="B112" s="29" t="s">
        <v>154</v>
      </c>
      <c r="C112" s="8"/>
      <c r="D112" s="8">
        <f t="shared" ref="D112:J112" si="12">D35+D89+D109+D55+D77+D66+D14+D45+D98+D24</f>
        <v>200</v>
      </c>
      <c r="E112" s="8">
        <f t="shared" si="12"/>
        <v>375.6</v>
      </c>
      <c r="F112" s="8">
        <f t="shared" si="12"/>
        <v>37.5</v>
      </c>
      <c r="G112" s="8">
        <f t="shared" si="12"/>
        <v>113.51999999999998</v>
      </c>
      <c r="H112" s="8">
        <f t="shared" si="12"/>
        <v>37</v>
      </c>
      <c r="I112" s="8">
        <f t="shared" si="12"/>
        <v>448.25</v>
      </c>
      <c r="J112" s="8">
        <f t="shared" si="12"/>
        <v>689</v>
      </c>
      <c r="K112" s="8">
        <f>K107+K53+K84+K50+K41+K12</f>
        <v>447</v>
      </c>
      <c r="L112" s="8">
        <f t="shared" ref="L112:AG112" si="13">L35+L109+L98+L89+L45+L66+L55+L77+L14+L24</f>
        <v>36</v>
      </c>
      <c r="M112" s="8">
        <f t="shared" si="13"/>
        <v>500</v>
      </c>
      <c r="N112" s="8">
        <f t="shared" si="13"/>
        <v>173</v>
      </c>
      <c r="O112" s="8">
        <f t="shared" si="13"/>
        <v>37.5</v>
      </c>
      <c r="P112" s="8">
        <f t="shared" si="13"/>
        <v>85.4</v>
      </c>
      <c r="Q112" s="8">
        <f t="shared" si="13"/>
        <v>138.5</v>
      </c>
      <c r="R112" s="8">
        <f t="shared" si="13"/>
        <v>783.10869565217388</v>
      </c>
      <c r="S112" s="8">
        <f t="shared" si="13"/>
        <v>380</v>
      </c>
      <c r="T112" s="8">
        <f t="shared" si="13"/>
        <v>125</v>
      </c>
      <c r="U112" s="8">
        <f t="shared" si="13"/>
        <v>24</v>
      </c>
      <c r="V112" s="8">
        <f t="shared" si="13"/>
        <v>25</v>
      </c>
      <c r="W112" s="8">
        <f t="shared" si="13"/>
        <v>75.45</v>
      </c>
      <c r="X112" s="8">
        <f t="shared" si="13"/>
        <v>36.6</v>
      </c>
      <c r="Y112" s="8">
        <f t="shared" si="13"/>
        <v>99.4</v>
      </c>
      <c r="Z112" s="8">
        <f t="shared" si="13"/>
        <v>98.15</v>
      </c>
      <c r="AA112" s="8">
        <f t="shared" si="13"/>
        <v>25</v>
      </c>
      <c r="AB112" s="8">
        <f t="shared" si="13"/>
        <v>1</v>
      </c>
      <c r="AC112" s="8">
        <f t="shared" si="13"/>
        <v>3</v>
      </c>
      <c r="AD112" s="8">
        <f t="shared" si="13"/>
        <v>5</v>
      </c>
      <c r="AE112" s="8">
        <f t="shared" si="13"/>
        <v>1</v>
      </c>
      <c r="AF112" s="8">
        <f t="shared" si="13"/>
        <v>0</v>
      </c>
      <c r="AG112" s="8">
        <f t="shared" si="13"/>
        <v>0.3</v>
      </c>
      <c r="AH112" s="15"/>
      <c r="AI112" s="15"/>
      <c r="AJ112" s="15"/>
      <c r="AK112" s="15"/>
      <c r="AL112" s="15"/>
      <c r="AM112" s="15"/>
      <c r="AN112" s="15"/>
      <c r="AO112" s="15"/>
      <c r="AP112" s="15"/>
      <c r="AQ112" s="15"/>
      <c r="AR112" s="15"/>
      <c r="AS112" s="15"/>
      <c r="AT112" s="15"/>
      <c r="AU112" s="15"/>
      <c r="AV112" s="15"/>
      <c r="AW112" s="15"/>
      <c r="AX112" s="15"/>
      <c r="AY112" s="15"/>
      <c r="AZ112" s="15"/>
      <c r="BA112" s="15"/>
      <c r="BB112" s="15"/>
      <c r="BC112" s="15"/>
      <c r="BD112" s="15"/>
      <c r="BE112" s="15"/>
      <c r="BF112" s="15"/>
      <c r="BG112" s="15"/>
      <c r="BH112" s="15"/>
      <c r="BI112" s="15"/>
      <c r="BJ112" s="15"/>
      <c r="BK112" s="15"/>
      <c r="BL112" s="15"/>
      <c r="BM112" s="15"/>
      <c r="BN112" s="15"/>
      <c r="BO112" s="15"/>
      <c r="BP112" s="15"/>
      <c r="BQ112" s="15"/>
      <c r="BR112" s="15"/>
      <c r="BS112" s="15"/>
      <c r="BT112" s="15"/>
      <c r="BU112" s="15"/>
      <c r="BV112" s="15"/>
      <c r="BW112" s="15"/>
      <c r="BX112" s="15"/>
      <c r="BY112" s="15"/>
      <c r="BZ112" s="15"/>
      <c r="CA112" s="15"/>
      <c r="CB112" s="15"/>
      <c r="CC112" s="15"/>
      <c r="CD112" s="15"/>
      <c r="CE112" s="15"/>
      <c r="CF112" s="15"/>
      <c r="CG112" s="15"/>
      <c r="CH112" s="15"/>
      <c r="CI112" s="15"/>
      <c r="CJ112" s="15"/>
      <c r="CK112" s="15"/>
      <c r="CL112" s="15"/>
      <c r="CM112" s="15"/>
      <c r="CN112" s="15"/>
      <c r="CO112" s="15"/>
      <c r="CP112" s="15"/>
      <c r="CQ112" s="15"/>
      <c r="CR112" s="15"/>
      <c r="CS112" s="15"/>
    </row>
    <row r="113" spans="1:97" s="25" customFormat="1" ht="17.25" customHeight="1">
      <c r="A113" s="82"/>
      <c r="B113" s="30" t="s">
        <v>155</v>
      </c>
      <c r="C113" s="8"/>
      <c r="D113" s="8">
        <f>H122</f>
        <v>200</v>
      </c>
      <c r="E113" s="8">
        <f>H123</f>
        <v>375</v>
      </c>
      <c r="F113" s="8">
        <f>H124</f>
        <v>37.5</v>
      </c>
      <c r="G113" s="8">
        <f>H125</f>
        <v>112.5</v>
      </c>
      <c r="H113" s="8">
        <f>H126</f>
        <v>37.5</v>
      </c>
      <c r="I113" s="8">
        <f>H127</f>
        <v>470</v>
      </c>
      <c r="J113" s="8">
        <f>H128</f>
        <v>700</v>
      </c>
      <c r="K113" s="8">
        <f>H129</f>
        <v>462.5</v>
      </c>
      <c r="L113" s="8">
        <f>H130</f>
        <v>37.5</v>
      </c>
      <c r="M113" s="8">
        <f>H131</f>
        <v>500</v>
      </c>
      <c r="N113" s="8">
        <f>H132</f>
        <v>175</v>
      </c>
      <c r="O113" s="8">
        <f>H133</f>
        <v>37.5</v>
      </c>
      <c r="P113" s="8">
        <f>H134</f>
        <v>87.5</v>
      </c>
      <c r="Q113" s="8">
        <f>H135</f>
        <v>145</v>
      </c>
      <c r="R113" s="8">
        <f>H136</f>
        <v>750</v>
      </c>
      <c r="S113" s="8">
        <f>H137</f>
        <v>375</v>
      </c>
      <c r="T113" s="8">
        <f>H138</f>
        <v>125</v>
      </c>
      <c r="U113" s="8">
        <f>H139</f>
        <v>24.5</v>
      </c>
      <c r="V113" s="8">
        <f>H140</f>
        <v>25</v>
      </c>
      <c r="W113" s="8">
        <f>H141</f>
        <v>75</v>
      </c>
      <c r="X113" s="8">
        <f>H142</f>
        <v>37.5</v>
      </c>
      <c r="Y113" s="8">
        <f>H143</f>
        <v>100</v>
      </c>
      <c r="Z113" s="8">
        <f>H144</f>
        <v>100</v>
      </c>
      <c r="AA113" s="8">
        <f>H145</f>
        <v>25</v>
      </c>
      <c r="AB113" s="8">
        <f>H146</f>
        <v>1</v>
      </c>
      <c r="AC113" s="8">
        <f>H147</f>
        <v>3</v>
      </c>
      <c r="AD113" s="8">
        <f>H148</f>
        <v>5</v>
      </c>
      <c r="AE113" s="8">
        <f>H149</f>
        <v>2.5</v>
      </c>
      <c r="AF113" s="8">
        <f>H150</f>
        <v>7.5</v>
      </c>
      <c r="AG113" s="8">
        <f>H151</f>
        <v>5</v>
      </c>
      <c r="AH113" s="15"/>
      <c r="AI113" s="15"/>
      <c r="AJ113" s="15"/>
      <c r="AK113" s="15"/>
      <c r="AL113" s="15"/>
      <c r="AM113" s="15"/>
      <c r="AN113" s="15"/>
      <c r="AO113" s="15"/>
      <c r="AP113" s="15"/>
      <c r="AQ113" s="15"/>
      <c r="AR113" s="15"/>
      <c r="AS113" s="15"/>
      <c r="AT113" s="15"/>
      <c r="AU113" s="15"/>
      <c r="AV113" s="15"/>
      <c r="AW113" s="15"/>
      <c r="AX113" s="15"/>
      <c r="AY113" s="15"/>
      <c r="AZ113" s="15"/>
      <c r="BA113" s="15"/>
      <c r="BB113" s="15"/>
      <c r="BC113" s="15"/>
      <c r="BD113" s="15"/>
      <c r="BE113" s="15"/>
      <c r="BF113" s="15"/>
      <c r="BG113" s="15"/>
      <c r="BH113" s="15"/>
      <c r="BI113" s="15"/>
      <c r="BJ113" s="15"/>
      <c r="BK113" s="15"/>
      <c r="BL113" s="15"/>
      <c r="BM113" s="15"/>
      <c r="BN113" s="15"/>
      <c r="BO113" s="15"/>
      <c r="BP113" s="15"/>
      <c r="BQ113" s="15"/>
      <c r="BR113" s="15"/>
      <c r="BS113" s="15"/>
      <c r="BT113" s="15"/>
      <c r="BU113" s="15"/>
      <c r="BV113" s="15"/>
      <c r="BW113" s="15"/>
      <c r="BX113" s="15"/>
      <c r="BY113" s="15"/>
      <c r="BZ113" s="15"/>
      <c r="CA113" s="15"/>
      <c r="CB113" s="15"/>
      <c r="CC113" s="15"/>
      <c r="CD113" s="15"/>
      <c r="CE113" s="15"/>
      <c r="CF113" s="15"/>
      <c r="CG113" s="15"/>
      <c r="CH113" s="15"/>
      <c r="CI113" s="15"/>
      <c r="CJ113" s="15"/>
      <c r="CK113" s="15"/>
      <c r="CL113" s="15"/>
      <c r="CM113" s="15"/>
      <c r="CN113" s="15"/>
      <c r="CO113" s="15"/>
      <c r="CP113" s="15"/>
      <c r="CQ113" s="15"/>
      <c r="CR113" s="15"/>
      <c r="CS113" s="15"/>
    </row>
    <row r="114" spans="1:97" ht="16.5" customHeight="1">
      <c r="A114" s="191"/>
      <c r="B114" s="192"/>
    </row>
    <row r="115" spans="1:97" s="32" customFormat="1" ht="18" customHeight="1">
      <c r="A115" s="83"/>
      <c r="B115" s="31" t="s">
        <v>156</v>
      </c>
      <c r="C115" s="31"/>
      <c r="D115" s="31">
        <f t="shared" ref="D115:AG115" si="14">-(100-(D112*100/D113))</f>
        <v>0</v>
      </c>
      <c r="E115" s="31">
        <f t="shared" si="14"/>
        <v>0.15999999999999659</v>
      </c>
      <c r="F115" s="31">
        <f t="shared" si="14"/>
        <v>0</v>
      </c>
      <c r="G115" s="31">
        <f t="shared" si="14"/>
        <v>0.90666666666665208</v>
      </c>
      <c r="H115" s="31">
        <f t="shared" si="14"/>
        <v>-1.3333333333333286</v>
      </c>
      <c r="I115" s="31">
        <f t="shared" si="14"/>
        <v>-4.6276595744680833</v>
      </c>
      <c r="J115" s="31">
        <f t="shared" si="14"/>
        <v>-1.5714285714285694</v>
      </c>
      <c r="K115" s="31">
        <f t="shared" si="14"/>
        <v>-3.3513513513513544</v>
      </c>
      <c r="L115" s="31">
        <f t="shared" si="14"/>
        <v>-4</v>
      </c>
      <c r="M115" s="31">
        <f t="shared" si="14"/>
        <v>0</v>
      </c>
      <c r="N115" s="31">
        <f t="shared" si="14"/>
        <v>-1.1428571428571388</v>
      </c>
      <c r="O115" s="31">
        <f t="shared" si="14"/>
        <v>0</v>
      </c>
      <c r="P115" s="31">
        <f t="shared" si="14"/>
        <v>-2.4000000000000057</v>
      </c>
      <c r="Q115" s="31">
        <f t="shared" si="14"/>
        <v>-4.4827586206896513</v>
      </c>
      <c r="R115" s="31">
        <f t="shared" si="14"/>
        <v>4.4144927536231933</v>
      </c>
      <c r="S115" s="31">
        <f t="shared" si="14"/>
        <v>1.3333333333333286</v>
      </c>
      <c r="T115" s="31">
        <f t="shared" si="14"/>
        <v>0</v>
      </c>
      <c r="U115" s="31">
        <f t="shared" si="14"/>
        <v>-2.0408163265306172</v>
      </c>
      <c r="V115" s="31">
        <f t="shared" si="14"/>
        <v>0</v>
      </c>
      <c r="W115" s="31">
        <f t="shared" si="14"/>
        <v>0.59999999999999432</v>
      </c>
      <c r="X115" s="31">
        <f t="shared" si="14"/>
        <v>-2.4000000000000057</v>
      </c>
      <c r="Y115" s="31">
        <f t="shared" si="14"/>
        <v>-0.59999999999999432</v>
      </c>
      <c r="Z115" s="31">
        <f t="shared" si="14"/>
        <v>-1.8499999999999943</v>
      </c>
      <c r="AA115" s="31">
        <f t="shared" si="14"/>
        <v>0</v>
      </c>
      <c r="AB115" s="31">
        <f t="shared" si="14"/>
        <v>0</v>
      </c>
      <c r="AC115" s="31">
        <f t="shared" si="14"/>
        <v>0</v>
      </c>
      <c r="AD115" s="31">
        <f t="shared" si="14"/>
        <v>0</v>
      </c>
      <c r="AE115" s="31">
        <f t="shared" si="14"/>
        <v>-60</v>
      </c>
      <c r="AF115" s="31">
        <f t="shared" si="14"/>
        <v>-100</v>
      </c>
      <c r="AG115" s="31">
        <f t="shared" si="14"/>
        <v>-94</v>
      </c>
      <c r="AH115" s="15"/>
      <c r="AI115" s="15"/>
      <c r="AJ115" s="15"/>
      <c r="AK115" s="15"/>
      <c r="AL115" s="15"/>
      <c r="AM115" s="15"/>
      <c r="AN115" s="15"/>
      <c r="AO115" s="15"/>
      <c r="AP115" s="15"/>
      <c r="AQ115" s="15"/>
      <c r="AR115" s="15"/>
      <c r="AS115" s="15"/>
      <c r="AT115" s="15"/>
      <c r="AU115" s="15"/>
      <c r="AV115" s="15"/>
      <c r="AW115" s="15"/>
      <c r="AX115" s="15"/>
      <c r="AY115" s="15"/>
      <c r="AZ115" s="15"/>
      <c r="BA115" s="15"/>
      <c r="BB115" s="15"/>
      <c r="BC115" s="15"/>
      <c r="BD115" s="15"/>
      <c r="BE115" s="15"/>
      <c r="BF115" s="15"/>
      <c r="BG115" s="15"/>
      <c r="BH115" s="15"/>
      <c r="BI115" s="15"/>
      <c r="BJ115" s="15"/>
      <c r="BK115" s="15"/>
      <c r="BL115" s="15"/>
      <c r="BM115" s="15"/>
      <c r="BN115" s="15"/>
      <c r="BO115" s="15"/>
      <c r="BP115" s="15"/>
      <c r="BQ115" s="15"/>
      <c r="BR115" s="15"/>
      <c r="BS115" s="15"/>
      <c r="BT115" s="15"/>
      <c r="BU115" s="15"/>
      <c r="BV115" s="15"/>
      <c r="BW115" s="15"/>
      <c r="BX115" s="15"/>
      <c r="BY115" s="15"/>
      <c r="BZ115" s="15"/>
      <c r="CA115" s="15"/>
      <c r="CB115" s="15"/>
      <c r="CC115" s="15"/>
      <c r="CD115" s="15"/>
      <c r="CE115" s="15"/>
      <c r="CF115" s="15"/>
      <c r="CG115" s="15"/>
      <c r="CH115" s="15"/>
      <c r="CI115" s="15"/>
      <c r="CJ115" s="15"/>
      <c r="CK115" s="15"/>
      <c r="CL115" s="15"/>
      <c r="CM115" s="15"/>
      <c r="CN115" s="15"/>
      <c r="CO115" s="15"/>
      <c r="CP115" s="15"/>
      <c r="CQ115" s="15"/>
      <c r="CR115" s="15"/>
      <c r="CS115" s="15"/>
    </row>
    <row r="116" spans="1:97" ht="10.5" customHeight="1">
      <c r="A116" s="76"/>
    </row>
    <row r="117" spans="1:97" ht="10.5" customHeight="1">
      <c r="A117" s="76"/>
    </row>
    <row r="118" spans="1:97" ht="10.5" customHeight="1">
      <c r="A118" s="76"/>
    </row>
    <row r="119" spans="1:97" ht="10.5" customHeight="1">
      <c r="A119" s="80"/>
      <c r="B119" s="187" t="s">
        <v>23</v>
      </c>
      <c r="C119" s="33"/>
      <c r="D119" s="33"/>
      <c r="E119" s="33"/>
      <c r="F119" s="33"/>
      <c r="G119" s="33"/>
      <c r="H119" s="33"/>
      <c r="I119" s="33"/>
      <c r="J119" s="34"/>
    </row>
    <row r="120" spans="1:97" ht="10.5" customHeight="1">
      <c r="A120" s="80"/>
      <c r="B120" s="187"/>
      <c r="C120" s="33" t="s">
        <v>52</v>
      </c>
      <c r="D120" s="33"/>
      <c r="E120" s="33"/>
      <c r="F120" s="33" t="s">
        <v>63</v>
      </c>
      <c r="G120" s="33"/>
      <c r="H120" s="33"/>
      <c r="I120" s="33" t="s">
        <v>74</v>
      </c>
      <c r="J120" s="34"/>
    </row>
    <row r="121" spans="1:97" ht="16.5" customHeight="1">
      <c r="A121" s="80"/>
      <c r="B121" s="187"/>
      <c r="C121" s="33" t="s">
        <v>51</v>
      </c>
      <c r="D121" s="33"/>
      <c r="E121" s="174" t="s">
        <v>61</v>
      </c>
      <c r="F121" s="33" t="s">
        <v>60</v>
      </c>
      <c r="G121" s="33"/>
      <c r="H121" s="33" t="s">
        <v>61</v>
      </c>
      <c r="I121" s="33" t="s">
        <v>60</v>
      </c>
      <c r="J121" s="34"/>
    </row>
    <row r="122" spans="1:97" ht="10.5" customHeight="1">
      <c r="A122" s="80"/>
      <c r="B122" s="35" t="s">
        <v>50</v>
      </c>
      <c r="C122" s="33">
        <v>80</v>
      </c>
      <c r="D122" s="33"/>
      <c r="E122" s="174">
        <f t="shared" ref="E122:E151" si="15">C122*25/100</f>
        <v>20</v>
      </c>
      <c r="F122" s="33">
        <f t="shared" ref="F122:F151" si="16">C122*0.35</f>
        <v>28</v>
      </c>
      <c r="G122" s="33"/>
      <c r="H122" s="33">
        <f>E122*10</f>
        <v>200</v>
      </c>
      <c r="I122" s="33">
        <f>F122*10</f>
        <v>280</v>
      </c>
      <c r="J122" s="34"/>
    </row>
    <row r="123" spans="1:97" ht="10.5" customHeight="1">
      <c r="A123" s="80"/>
      <c r="B123" s="35" t="s">
        <v>24</v>
      </c>
      <c r="C123" s="33">
        <v>150</v>
      </c>
      <c r="D123" s="33"/>
      <c r="E123" s="174">
        <f t="shared" si="15"/>
        <v>37.5</v>
      </c>
      <c r="F123" s="33">
        <f t="shared" si="16"/>
        <v>52.5</v>
      </c>
      <c r="G123" s="33"/>
      <c r="H123" s="33">
        <f t="shared" ref="H123:I151" si="17">E123*10</f>
        <v>375</v>
      </c>
      <c r="I123" s="33">
        <f t="shared" si="17"/>
        <v>525</v>
      </c>
      <c r="J123" s="34"/>
    </row>
    <row r="124" spans="1:97" ht="10.5" customHeight="1">
      <c r="A124" s="80"/>
      <c r="B124" s="35" t="s">
        <v>25</v>
      </c>
      <c r="C124" s="33">
        <v>15</v>
      </c>
      <c r="D124" s="33"/>
      <c r="E124" s="174">
        <f t="shared" si="15"/>
        <v>3.75</v>
      </c>
      <c r="F124" s="33">
        <f t="shared" si="16"/>
        <v>5.25</v>
      </c>
      <c r="G124" s="33"/>
      <c r="H124" s="33">
        <f t="shared" si="17"/>
        <v>37.5</v>
      </c>
      <c r="I124" s="33">
        <f t="shared" si="17"/>
        <v>52.5</v>
      </c>
      <c r="J124" s="34"/>
    </row>
    <row r="125" spans="1:97" ht="10.5" customHeight="1">
      <c r="A125" s="80"/>
      <c r="B125" s="35" t="s">
        <v>26</v>
      </c>
      <c r="C125" s="33">
        <v>45</v>
      </c>
      <c r="D125" s="33"/>
      <c r="E125" s="174">
        <f t="shared" si="15"/>
        <v>11.25</v>
      </c>
      <c r="F125" s="33">
        <f t="shared" si="16"/>
        <v>15.749999999999998</v>
      </c>
      <c r="G125" s="33"/>
      <c r="H125" s="33">
        <f t="shared" si="17"/>
        <v>112.5</v>
      </c>
      <c r="I125" s="33">
        <f t="shared" si="17"/>
        <v>157.49999999999997</v>
      </c>
      <c r="J125" s="34"/>
    </row>
    <row r="126" spans="1:97" ht="10.5" customHeight="1">
      <c r="A126" s="80"/>
      <c r="B126" s="35" t="s">
        <v>27</v>
      </c>
      <c r="C126" s="33">
        <v>15</v>
      </c>
      <c r="D126" s="33"/>
      <c r="E126" s="174">
        <f t="shared" si="15"/>
        <v>3.75</v>
      </c>
      <c r="F126" s="33">
        <f t="shared" si="16"/>
        <v>5.25</v>
      </c>
      <c r="G126" s="33"/>
      <c r="H126" s="33">
        <f t="shared" si="17"/>
        <v>37.5</v>
      </c>
      <c r="I126" s="33">
        <f t="shared" si="17"/>
        <v>52.5</v>
      </c>
      <c r="J126" s="34"/>
    </row>
    <row r="127" spans="1:97" ht="10.5" customHeight="1">
      <c r="A127" s="80"/>
      <c r="B127" s="35" t="s">
        <v>28</v>
      </c>
      <c r="C127" s="33">
        <v>188</v>
      </c>
      <c r="D127" s="33"/>
      <c r="E127" s="174">
        <f t="shared" si="15"/>
        <v>47</v>
      </c>
      <c r="F127" s="33">
        <f t="shared" si="16"/>
        <v>65.8</v>
      </c>
      <c r="G127" s="33"/>
      <c r="H127" s="33">
        <f t="shared" si="17"/>
        <v>470</v>
      </c>
      <c r="I127" s="33">
        <f t="shared" si="17"/>
        <v>658</v>
      </c>
      <c r="J127" s="34"/>
    </row>
    <row r="128" spans="1:97" ht="10.5" customHeight="1">
      <c r="A128" s="80"/>
      <c r="B128" s="35" t="s">
        <v>78</v>
      </c>
      <c r="C128" s="33">
        <v>280</v>
      </c>
      <c r="D128" s="33"/>
      <c r="E128" s="174">
        <f t="shared" si="15"/>
        <v>70</v>
      </c>
      <c r="F128" s="33">
        <f t="shared" si="16"/>
        <v>98</v>
      </c>
      <c r="G128" s="33"/>
      <c r="H128" s="33">
        <f t="shared" si="17"/>
        <v>700</v>
      </c>
      <c r="I128" s="33">
        <f t="shared" si="17"/>
        <v>980</v>
      </c>
      <c r="J128" s="34"/>
    </row>
    <row r="129" spans="1:10" ht="10.5" customHeight="1">
      <c r="A129" s="80"/>
      <c r="B129" s="35" t="s">
        <v>79</v>
      </c>
      <c r="C129" s="33">
        <v>185</v>
      </c>
      <c r="D129" s="33"/>
      <c r="E129" s="174">
        <f t="shared" si="15"/>
        <v>46.25</v>
      </c>
      <c r="F129" s="33">
        <f t="shared" si="16"/>
        <v>64.75</v>
      </c>
      <c r="G129" s="33"/>
      <c r="H129" s="33">
        <f t="shared" si="17"/>
        <v>462.5</v>
      </c>
      <c r="I129" s="33">
        <f t="shared" si="17"/>
        <v>647.5</v>
      </c>
      <c r="J129" s="34"/>
    </row>
    <row r="130" spans="1:10" ht="10.5" customHeight="1">
      <c r="A130" s="80"/>
      <c r="B130" s="35" t="s">
        <v>80</v>
      </c>
      <c r="C130" s="33">
        <v>15</v>
      </c>
      <c r="D130" s="33"/>
      <c r="E130" s="174">
        <f t="shared" si="15"/>
        <v>3.75</v>
      </c>
      <c r="F130" s="33">
        <f t="shared" si="16"/>
        <v>5.25</v>
      </c>
      <c r="G130" s="33"/>
      <c r="H130" s="33">
        <f t="shared" si="17"/>
        <v>37.5</v>
      </c>
      <c r="I130" s="33">
        <f t="shared" si="17"/>
        <v>52.5</v>
      </c>
      <c r="J130" s="34"/>
    </row>
    <row r="131" spans="1:10" ht="10.5" customHeight="1">
      <c r="A131" s="80"/>
      <c r="B131" s="35" t="s">
        <v>53</v>
      </c>
      <c r="C131" s="33">
        <v>200</v>
      </c>
      <c r="D131" s="33"/>
      <c r="E131" s="174">
        <f t="shared" si="15"/>
        <v>50</v>
      </c>
      <c r="F131" s="33">
        <f t="shared" si="16"/>
        <v>70</v>
      </c>
      <c r="G131" s="33"/>
      <c r="H131" s="33">
        <f t="shared" si="17"/>
        <v>500</v>
      </c>
      <c r="I131" s="33">
        <f t="shared" si="17"/>
        <v>700</v>
      </c>
      <c r="J131" s="34"/>
    </row>
    <row r="132" spans="1:10" ht="10.5" customHeight="1">
      <c r="A132" s="80"/>
      <c r="B132" s="35" t="s">
        <v>81</v>
      </c>
      <c r="C132" s="33">
        <v>70</v>
      </c>
      <c r="D132" s="33"/>
      <c r="E132" s="174">
        <f t="shared" si="15"/>
        <v>17.5</v>
      </c>
      <c r="F132" s="33">
        <f t="shared" si="16"/>
        <v>24.5</v>
      </c>
      <c r="G132" s="33"/>
      <c r="H132" s="33">
        <f t="shared" si="17"/>
        <v>175</v>
      </c>
      <c r="I132" s="33">
        <f t="shared" si="17"/>
        <v>245</v>
      </c>
      <c r="J132" s="34"/>
    </row>
    <row r="133" spans="1:10" ht="10.5" customHeight="1">
      <c r="A133" s="80"/>
      <c r="B133" s="35" t="s">
        <v>148</v>
      </c>
      <c r="C133" s="33">
        <v>15</v>
      </c>
      <c r="D133" s="33"/>
      <c r="E133" s="174">
        <f t="shared" si="15"/>
        <v>3.75</v>
      </c>
      <c r="F133" s="33">
        <f t="shared" si="16"/>
        <v>5.25</v>
      </c>
      <c r="G133" s="33"/>
      <c r="H133" s="33">
        <f t="shared" si="17"/>
        <v>37.5</v>
      </c>
      <c r="I133" s="33">
        <f t="shared" si="17"/>
        <v>52.5</v>
      </c>
      <c r="J133" s="34"/>
    </row>
    <row r="134" spans="1:10" ht="10.5" customHeight="1">
      <c r="A134" s="80"/>
      <c r="B134" s="35" t="s">
        <v>82</v>
      </c>
      <c r="C134" s="33">
        <v>35</v>
      </c>
      <c r="D134" s="33"/>
      <c r="E134" s="174">
        <f t="shared" si="15"/>
        <v>8.75</v>
      </c>
      <c r="F134" s="33">
        <f t="shared" si="16"/>
        <v>12.25</v>
      </c>
      <c r="G134" s="33"/>
      <c r="H134" s="33">
        <f t="shared" si="17"/>
        <v>87.5</v>
      </c>
      <c r="I134" s="33">
        <f t="shared" si="17"/>
        <v>122.5</v>
      </c>
      <c r="J134" s="34"/>
    </row>
    <row r="135" spans="1:10" ht="10.5" customHeight="1">
      <c r="A135" s="80"/>
      <c r="B135" s="35" t="s">
        <v>83</v>
      </c>
      <c r="C135" s="33">
        <v>58</v>
      </c>
      <c r="D135" s="33"/>
      <c r="E135" s="174">
        <f t="shared" si="15"/>
        <v>14.5</v>
      </c>
      <c r="F135" s="33">
        <f t="shared" si="16"/>
        <v>20.299999999999997</v>
      </c>
      <c r="G135" s="33"/>
      <c r="H135" s="33">
        <f t="shared" si="17"/>
        <v>145</v>
      </c>
      <c r="I135" s="33">
        <f t="shared" si="17"/>
        <v>202.99999999999997</v>
      </c>
      <c r="J135" s="34"/>
    </row>
    <row r="136" spans="1:10" ht="10.5" customHeight="1">
      <c r="A136" s="80"/>
      <c r="B136" s="35" t="s">
        <v>54</v>
      </c>
      <c r="C136" s="33">
        <v>300</v>
      </c>
      <c r="D136" s="33"/>
      <c r="E136" s="174">
        <f t="shared" si="15"/>
        <v>75</v>
      </c>
      <c r="F136" s="33">
        <f t="shared" si="16"/>
        <v>105</v>
      </c>
      <c r="G136" s="33"/>
      <c r="H136" s="33">
        <f t="shared" si="17"/>
        <v>750</v>
      </c>
      <c r="I136" s="33">
        <f t="shared" si="17"/>
        <v>1050</v>
      </c>
      <c r="J136" s="34"/>
    </row>
    <row r="137" spans="1:10" ht="10.5" customHeight="1">
      <c r="A137" s="80"/>
      <c r="B137" s="35" t="s">
        <v>55</v>
      </c>
      <c r="C137" s="33">
        <v>150</v>
      </c>
      <c r="D137" s="33"/>
      <c r="E137" s="174">
        <f t="shared" si="15"/>
        <v>37.5</v>
      </c>
      <c r="F137" s="33">
        <f t="shared" si="16"/>
        <v>52.5</v>
      </c>
      <c r="G137" s="33"/>
      <c r="H137" s="33">
        <f t="shared" si="17"/>
        <v>375</v>
      </c>
      <c r="I137" s="33">
        <f t="shared" si="17"/>
        <v>525</v>
      </c>
      <c r="J137" s="34"/>
    </row>
    <row r="138" spans="1:10" ht="10.5" customHeight="1">
      <c r="A138" s="80"/>
      <c r="B138" s="35" t="s">
        <v>62</v>
      </c>
      <c r="C138" s="33">
        <v>50</v>
      </c>
      <c r="D138" s="33"/>
      <c r="E138" s="174">
        <f t="shared" si="15"/>
        <v>12.5</v>
      </c>
      <c r="F138" s="33">
        <f t="shared" si="16"/>
        <v>17.5</v>
      </c>
      <c r="G138" s="33"/>
      <c r="H138" s="33">
        <f t="shared" si="17"/>
        <v>125</v>
      </c>
      <c r="I138" s="33">
        <f t="shared" si="17"/>
        <v>175</v>
      </c>
      <c r="J138" s="34"/>
    </row>
    <row r="139" spans="1:10" ht="10.5" customHeight="1">
      <c r="A139" s="80"/>
      <c r="B139" s="35" t="s">
        <v>29</v>
      </c>
      <c r="C139" s="33">
        <v>9.8000000000000007</v>
      </c>
      <c r="D139" s="33"/>
      <c r="E139" s="174">
        <f t="shared" si="15"/>
        <v>2.4500000000000002</v>
      </c>
      <c r="F139" s="33">
        <f t="shared" si="16"/>
        <v>3.43</v>
      </c>
      <c r="G139" s="33"/>
      <c r="H139" s="33">
        <f t="shared" si="17"/>
        <v>24.5</v>
      </c>
      <c r="I139" s="33">
        <f t="shared" si="17"/>
        <v>34.300000000000004</v>
      </c>
      <c r="J139" s="34"/>
    </row>
    <row r="140" spans="1:10" ht="10.5" customHeight="1">
      <c r="A140" s="80"/>
      <c r="B140" s="35" t="s">
        <v>35</v>
      </c>
      <c r="C140" s="33">
        <v>10</v>
      </c>
      <c r="D140" s="33"/>
      <c r="E140" s="174">
        <f t="shared" si="15"/>
        <v>2.5</v>
      </c>
      <c r="F140" s="33">
        <f t="shared" si="16"/>
        <v>3.5</v>
      </c>
      <c r="G140" s="33"/>
      <c r="H140" s="33">
        <f t="shared" si="17"/>
        <v>25</v>
      </c>
      <c r="I140" s="33">
        <f t="shared" si="17"/>
        <v>35</v>
      </c>
      <c r="J140" s="34"/>
    </row>
    <row r="141" spans="1:10" ht="10.5" customHeight="1">
      <c r="A141" s="80"/>
      <c r="B141" s="35" t="s">
        <v>30</v>
      </c>
      <c r="C141" s="33">
        <v>30</v>
      </c>
      <c r="D141" s="33"/>
      <c r="E141" s="174">
        <f t="shared" si="15"/>
        <v>7.5</v>
      </c>
      <c r="F141" s="33">
        <f t="shared" si="16"/>
        <v>10.5</v>
      </c>
      <c r="G141" s="33"/>
      <c r="H141" s="33">
        <f t="shared" si="17"/>
        <v>75</v>
      </c>
      <c r="I141" s="33">
        <f t="shared" si="17"/>
        <v>105</v>
      </c>
      <c r="J141" s="34"/>
    </row>
    <row r="142" spans="1:10" ht="10.5" customHeight="1">
      <c r="A142" s="80"/>
      <c r="B142" s="35" t="s">
        <v>31</v>
      </c>
      <c r="C142" s="33">
        <v>15</v>
      </c>
      <c r="D142" s="33"/>
      <c r="E142" s="174">
        <f t="shared" si="15"/>
        <v>3.75</v>
      </c>
      <c r="F142" s="33">
        <f t="shared" si="16"/>
        <v>5.25</v>
      </c>
      <c r="G142" s="33"/>
      <c r="H142" s="33">
        <f t="shared" si="17"/>
        <v>37.5</v>
      </c>
      <c r="I142" s="33">
        <f t="shared" si="17"/>
        <v>52.5</v>
      </c>
      <c r="J142" s="34"/>
    </row>
    <row r="143" spans="1:10" ht="10.5" customHeight="1">
      <c r="A143" s="80"/>
      <c r="B143" s="35" t="s">
        <v>65</v>
      </c>
      <c r="C143" s="33">
        <v>40</v>
      </c>
      <c r="D143" s="33"/>
      <c r="E143" s="174">
        <f t="shared" si="15"/>
        <v>10</v>
      </c>
      <c r="F143" s="33">
        <f t="shared" si="16"/>
        <v>14</v>
      </c>
      <c r="G143" s="33"/>
      <c r="H143" s="33">
        <f t="shared" si="17"/>
        <v>100</v>
      </c>
      <c r="I143" s="33">
        <f t="shared" si="17"/>
        <v>140</v>
      </c>
      <c r="J143" s="34"/>
    </row>
    <row r="144" spans="1:10" ht="10.5" customHeight="1">
      <c r="A144" s="80"/>
      <c r="B144" s="35" t="s">
        <v>32</v>
      </c>
      <c r="C144" s="33">
        <v>40</v>
      </c>
      <c r="D144" s="33"/>
      <c r="E144" s="174">
        <f t="shared" si="15"/>
        <v>10</v>
      </c>
      <c r="F144" s="33">
        <f t="shared" si="16"/>
        <v>14</v>
      </c>
      <c r="G144" s="33"/>
      <c r="H144" s="33">
        <f t="shared" si="17"/>
        <v>100</v>
      </c>
      <c r="I144" s="33">
        <f t="shared" si="17"/>
        <v>140</v>
      </c>
      <c r="J144" s="34"/>
    </row>
    <row r="145" spans="1:97" ht="10.5" customHeight="1">
      <c r="A145" s="80"/>
      <c r="B145" s="35" t="s">
        <v>33</v>
      </c>
      <c r="C145" s="33">
        <v>10</v>
      </c>
      <c r="D145" s="33"/>
      <c r="E145" s="174">
        <f t="shared" si="15"/>
        <v>2.5</v>
      </c>
      <c r="F145" s="33">
        <f t="shared" si="16"/>
        <v>3.5</v>
      </c>
      <c r="G145" s="33"/>
      <c r="H145" s="33">
        <f t="shared" si="17"/>
        <v>25</v>
      </c>
      <c r="I145" s="33">
        <f t="shared" si="17"/>
        <v>35</v>
      </c>
      <c r="J145" s="34"/>
    </row>
    <row r="146" spans="1:97" ht="10.5" customHeight="1">
      <c r="A146" s="80"/>
      <c r="B146" s="35" t="s">
        <v>16</v>
      </c>
      <c r="C146" s="33">
        <v>0.4</v>
      </c>
      <c r="D146" s="33"/>
      <c r="E146" s="174">
        <f t="shared" si="15"/>
        <v>0.1</v>
      </c>
      <c r="F146" s="33">
        <f t="shared" si="16"/>
        <v>0.13999999999999999</v>
      </c>
      <c r="G146" s="33"/>
      <c r="H146" s="33">
        <f t="shared" si="17"/>
        <v>1</v>
      </c>
      <c r="I146" s="33">
        <f t="shared" si="17"/>
        <v>1.4</v>
      </c>
      <c r="J146" s="34"/>
    </row>
    <row r="147" spans="1:97" ht="10.5" customHeight="1">
      <c r="A147" s="80"/>
      <c r="B147" s="35" t="s">
        <v>56</v>
      </c>
      <c r="C147" s="33">
        <v>1.2</v>
      </c>
      <c r="D147" s="33"/>
      <c r="E147" s="174">
        <f t="shared" si="15"/>
        <v>0.3</v>
      </c>
      <c r="F147" s="33">
        <f t="shared" si="16"/>
        <v>0.42</v>
      </c>
      <c r="G147" s="33"/>
      <c r="H147" s="33">
        <f t="shared" si="17"/>
        <v>3</v>
      </c>
      <c r="I147" s="33">
        <f t="shared" si="17"/>
        <v>4.2</v>
      </c>
      <c r="J147" s="34"/>
    </row>
    <row r="148" spans="1:97" ht="10.5" customHeight="1">
      <c r="A148" s="80"/>
      <c r="B148" s="40" t="s">
        <v>103</v>
      </c>
      <c r="C148" s="39">
        <v>2</v>
      </c>
      <c r="D148" s="39"/>
      <c r="E148" s="175">
        <f t="shared" si="15"/>
        <v>0.5</v>
      </c>
      <c r="F148" s="39">
        <f t="shared" si="16"/>
        <v>0.7</v>
      </c>
      <c r="G148" s="39"/>
      <c r="H148" s="39">
        <f t="shared" si="17"/>
        <v>5</v>
      </c>
      <c r="I148" s="39">
        <f t="shared" si="17"/>
        <v>7</v>
      </c>
      <c r="J148" s="34"/>
    </row>
    <row r="149" spans="1:97" ht="10.5" customHeight="1">
      <c r="A149" s="80"/>
      <c r="B149" s="35" t="s">
        <v>34</v>
      </c>
      <c r="C149" s="33">
        <v>1</v>
      </c>
      <c r="D149" s="33"/>
      <c r="E149" s="174">
        <f t="shared" si="15"/>
        <v>0.25</v>
      </c>
      <c r="F149" s="33">
        <f t="shared" si="16"/>
        <v>0.35</v>
      </c>
      <c r="G149" s="33"/>
      <c r="H149" s="33">
        <f t="shared" si="17"/>
        <v>2.5</v>
      </c>
      <c r="I149" s="33">
        <f t="shared" si="17"/>
        <v>3.5</v>
      </c>
      <c r="J149" s="34"/>
    </row>
    <row r="150" spans="1:97" ht="10.5" customHeight="1">
      <c r="A150" s="84"/>
      <c r="B150" s="35" t="s">
        <v>58</v>
      </c>
      <c r="C150" s="33">
        <v>3</v>
      </c>
      <c r="D150" s="33"/>
      <c r="E150" s="174">
        <f t="shared" si="15"/>
        <v>0.75</v>
      </c>
      <c r="F150" s="33">
        <f t="shared" si="16"/>
        <v>1.0499999999999998</v>
      </c>
      <c r="G150" s="33"/>
      <c r="H150" s="33">
        <f t="shared" si="17"/>
        <v>7.5</v>
      </c>
      <c r="I150" s="33">
        <f t="shared" si="17"/>
        <v>10.499999999999998</v>
      </c>
      <c r="J150" s="36"/>
      <c r="K150" s="18"/>
      <c r="L150" s="18"/>
      <c r="M150" s="18"/>
      <c r="N150" s="18"/>
      <c r="O150" s="18"/>
      <c r="P150" s="18"/>
      <c r="Q150" s="18"/>
      <c r="R150" s="18"/>
      <c r="S150" s="18"/>
      <c r="T150" s="18"/>
      <c r="U150" s="18"/>
      <c r="V150" s="18"/>
      <c r="W150" s="18"/>
      <c r="X150" s="18"/>
      <c r="Y150" s="18"/>
      <c r="Z150" s="18"/>
      <c r="AA150" s="18"/>
      <c r="AB150" s="18"/>
      <c r="AC150" s="18"/>
      <c r="AD150" s="18"/>
      <c r="AE150" s="18"/>
      <c r="AF150" s="18"/>
      <c r="AG150" s="18"/>
    </row>
    <row r="151" spans="1:97" ht="10.5" customHeight="1">
      <c r="A151" s="80"/>
      <c r="B151" s="39" t="s">
        <v>102</v>
      </c>
      <c r="C151" s="39">
        <v>2</v>
      </c>
      <c r="D151" s="39"/>
      <c r="E151" s="175">
        <f t="shared" si="15"/>
        <v>0.5</v>
      </c>
      <c r="F151" s="39">
        <f t="shared" si="16"/>
        <v>0.7</v>
      </c>
      <c r="G151" s="39"/>
      <c r="H151" s="39">
        <f t="shared" si="17"/>
        <v>5</v>
      </c>
      <c r="I151" s="39">
        <f t="shared" si="17"/>
        <v>7</v>
      </c>
      <c r="J151" s="34"/>
    </row>
    <row r="152" spans="1:97" s="37" customFormat="1" ht="10.5" customHeight="1">
      <c r="A152" s="85"/>
      <c r="B152" s="33"/>
      <c r="C152" s="33"/>
      <c r="D152" s="33"/>
      <c r="E152" s="33"/>
      <c r="F152" s="33"/>
      <c r="G152" s="33"/>
      <c r="H152" s="33"/>
      <c r="I152" s="33"/>
    </row>
    <row r="153" spans="1:97" s="37" customFormat="1" ht="10.5" customHeight="1">
      <c r="A153" s="85"/>
    </row>
    <row r="154" spans="1:97" s="37" customFormat="1" ht="10.5" customHeight="1">
      <c r="A154" s="85"/>
    </row>
    <row r="155" spans="1:97" s="38" customFormat="1" ht="10.5" customHeight="1">
      <c r="A155" s="86"/>
      <c r="AH155" s="37"/>
      <c r="AI155" s="37"/>
      <c r="AJ155" s="37"/>
      <c r="AK155" s="37"/>
      <c r="AL155" s="37"/>
      <c r="AM155" s="37"/>
      <c r="AN155" s="37"/>
      <c r="AO155" s="37"/>
      <c r="AP155" s="37"/>
      <c r="AQ155" s="37"/>
      <c r="AR155" s="37"/>
      <c r="AS155" s="37"/>
      <c r="AT155" s="37"/>
      <c r="AU155" s="37"/>
      <c r="AV155" s="37"/>
      <c r="AW155" s="37"/>
      <c r="AX155" s="37"/>
      <c r="AY155" s="37"/>
      <c r="AZ155" s="37"/>
      <c r="BA155" s="37"/>
      <c r="BB155" s="37"/>
      <c r="BC155" s="37"/>
      <c r="BD155" s="37"/>
      <c r="BE155" s="37"/>
      <c r="BF155" s="37"/>
      <c r="BG155" s="37"/>
      <c r="BH155" s="37"/>
      <c r="BI155" s="37"/>
      <c r="BJ155" s="37"/>
      <c r="BK155" s="37"/>
      <c r="BL155" s="37"/>
      <c r="BM155" s="37"/>
      <c r="BN155" s="37"/>
      <c r="BO155" s="37"/>
      <c r="BP155" s="37"/>
      <c r="BQ155" s="37"/>
      <c r="BR155" s="37"/>
      <c r="BS155" s="37"/>
      <c r="BT155" s="37"/>
      <c r="BU155" s="37"/>
      <c r="BV155" s="37"/>
      <c r="BW155" s="37"/>
      <c r="BX155" s="37"/>
      <c r="BY155" s="37"/>
      <c r="BZ155" s="37"/>
      <c r="CA155" s="37"/>
      <c r="CB155" s="37"/>
      <c r="CC155" s="37"/>
      <c r="CD155" s="37"/>
      <c r="CE155" s="37"/>
      <c r="CF155" s="37"/>
      <c r="CG155" s="37"/>
      <c r="CH155" s="37"/>
      <c r="CI155" s="37"/>
      <c r="CJ155" s="37"/>
      <c r="CK155" s="37"/>
      <c r="CL155" s="37"/>
      <c r="CM155" s="37"/>
      <c r="CN155" s="37"/>
      <c r="CO155" s="37"/>
      <c r="CP155" s="37"/>
      <c r="CQ155" s="37"/>
      <c r="CR155" s="37"/>
      <c r="CS155" s="37"/>
    </row>
    <row r="156" spans="1:97" s="38" customFormat="1" ht="10.5" customHeight="1">
      <c r="A156" s="86"/>
      <c r="AH156" s="37"/>
      <c r="AI156" s="37"/>
      <c r="AJ156" s="37"/>
      <c r="AK156" s="37"/>
      <c r="AL156" s="37"/>
      <c r="AM156" s="37"/>
      <c r="AN156" s="37"/>
      <c r="AO156" s="37"/>
      <c r="AP156" s="37"/>
      <c r="AQ156" s="37"/>
      <c r="AR156" s="37"/>
      <c r="AS156" s="37"/>
      <c r="AT156" s="37"/>
      <c r="AU156" s="37"/>
      <c r="AV156" s="37"/>
      <c r="AW156" s="37"/>
      <c r="AX156" s="37"/>
      <c r="AY156" s="37"/>
      <c r="AZ156" s="37"/>
      <c r="BA156" s="37"/>
      <c r="BB156" s="37"/>
      <c r="BC156" s="37"/>
      <c r="BD156" s="37"/>
      <c r="BE156" s="37"/>
      <c r="BF156" s="37"/>
      <c r="BG156" s="37"/>
      <c r="BH156" s="37"/>
      <c r="BI156" s="37"/>
      <c r="BJ156" s="37"/>
      <c r="BK156" s="37"/>
      <c r="BL156" s="37"/>
      <c r="BM156" s="37"/>
      <c r="BN156" s="37"/>
      <c r="BO156" s="37"/>
      <c r="BP156" s="37"/>
      <c r="BQ156" s="37"/>
      <c r="BR156" s="37"/>
      <c r="BS156" s="37"/>
      <c r="BT156" s="37"/>
      <c r="BU156" s="37"/>
      <c r="BV156" s="37"/>
      <c r="BW156" s="37"/>
      <c r="BX156" s="37"/>
      <c r="BY156" s="37"/>
      <c r="BZ156" s="37"/>
      <c r="CA156" s="37"/>
      <c r="CB156" s="37"/>
      <c r="CC156" s="37"/>
      <c r="CD156" s="37"/>
      <c r="CE156" s="37"/>
      <c r="CF156" s="37"/>
      <c r="CG156" s="37"/>
      <c r="CH156" s="37"/>
      <c r="CI156" s="37"/>
      <c r="CJ156" s="37"/>
      <c r="CK156" s="37"/>
      <c r="CL156" s="37"/>
      <c r="CM156" s="37"/>
      <c r="CN156" s="37"/>
      <c r="CO156" s="37"/>
      <c r="CP156" s="37"/>
      <c r="CQ156" s="37"/>
      <c r="CR156" s="37"/>
      <c r="CS156" s="37"/>
    </row>
    <row r="157" spans="1:97" s="37" customFormat="1" ht="10.5" customHeight="1">
      <c r="A157" s="85"/>
    </row>
    <row r="158" spans="1:97" s="37" customFormat="1" ht="10.5" customHeight="1">
      <c r="A158" s="85"/>
    </row>
    <row r="159" spans="1:97" s="37" customFormat="1" ht="10.5" customHeight="1">
      <c r="A159" s="85"/>
    </row>
    <row r="160" spans="1:97" s="37" customFormat="1" ht="10.5" customHeight="1">
      <c r="A160" s="85"/>
    </row>
    <row r="161" spans="1:1" s="37" customFormat="1" ht="10.5" customHeight="1">
      <c r="A161" s="85"/>
    </row>
    <row r="162" spans="1:1" s="37" customFormat="1" ht="10.5" customHeight="1">
      <c r="A162" s="85"/>
    </row>
    <row r="163" spans="1:1" s="37" customFormat="1" ht="10.5" customHeight="1">
      <c r="A163" s="85"/>
    </row>
    <row r="164" spans="1:1" s="37" customFormat="1" ht="10.5" customHeight="1">
      <c r="A164" s="85"/>
    </row>
    <row r="165" spans="1:1" s="37" customFormat="1" ht="10.5" customHeight="1">
      <c r="A165" s="85"/>
    </row>
    <row r="166" spans="1:1" s="37" customFormat="1" ht="10.5" customHeight="1">
      <c r="A166" s="85"/>
    </row>
    <row r="167" spans="1:1" s="37" customFormat="1" ht="10.5" customHeight="1">
      <c r="A167" s="85"/>
    </row>
    <row r="168" spans="1:1" s="37" customFormat="1" ht="10.5" customHeight="1">
      <c r="A168" s="85"/>
    </row>
    <row r="169" spans="1:1" s="37" customFormat="1" ht="10.5" customHeight="1">
      <c r="A169" s="85"/>
    </row>
    <row r="170" spans="1:1" s="37" customFormat="1" ht="10.5" customHeight="1">
      <c r="A170" s="85"/>
    </row>
    <row r="171" spans="1:1" s="37" customFormat="1" ht="10.5" customHeight="1">
      <c r="A171" s="85"/>
    </row>
    <row r="172" spans="1:1" s="37" customFormat="1" ht="10.5" customHeight="1">
      <c r="A172" s="85"/>
    </row>
    <row r="173" spans="1:1" s="37" customFormat="1" ht="10.5" customHeight="1">
      <c r="A173" s="85"/>
    </row>
    <row r="174" spans="1:1" s="37" customFormat="1" ht="10.5" customHeight="1">
      <c r="A174" s="85"/>
    </row>
    <row r="175" spans="1:1" s="37" customFormat="1" ht="10.5" customHeight="1">
      <c r="A175" s="85"/>
    </row>
    <row r="176" spans="1:1" s="37" customFormat="1" ht="10.5" customHeight="1">
      <c r="A176" s="85"/>
    </row>
    <row r="177" spans="1:1" s="37" customFormat="1" ht="10.5" customHeight="1">
      <c r="A177" s="85"/>
    </row>
    <row r="178" spans="1:1" s="37" customFormat="1" ht="10.5" customHeight="1">
      <c r="A178" s="85"/>
    </row>
    <row r="179" spans="1:1" s="37" customFormat="1" ht="10.5" customHeight="1">
      <c r="A179" s="85"/>
    </row>
    <row r="180" spans="1:1" s="37" customFormat="1" ht="10.5" customHeight="1">
      <c r="A180" s="85"/>
    </row>
    <row r="181" spans="1:1" s="37" customFormat="1" ht="10.5" customHeight="1">
      <c r="A181" s="85"/>
    </row>
    <row r="182" spans="1:1" s="37" customFormat="1" ht="10.5" customHeight="1">
      <c r="A182" s="85"/>
    </row>
    <row r="183" spans="1:1" s="37" customFormat="1" ht="10.5" customHeight="1">
      <c r="A183" s="85"/>
    </row>
    <row r="184" spans="1:1" s="37" customFormat="1" ht="10.5" customHeight="1">
      <c r="A184" s="85"/>
    </row>
    <row r="185" spans="1:1" s="37" customFormat="1" ht="10.5" customHeight="1">
      <c r="A185" s="85"/>
    </row>
    <row r="186" spans="1:1" s="37" customFormat="1" ht="10.5" customHeight="1">
      <c r="A186" s="85"/>
    </row>
    <row r="187" spans="1:1" s="37" customFormat="1" ht="10.5" customHeight="1">
      <c r="A187" s="85"/>
    </row>
    <row r="188" spans="1:1" s="37" customFormat="1" ht="10.5" customHeight="1">
      <c r="A188" s="85"/>
    </row>
    <row r="189" spans="1:1" s="37" customFormat="1" ht="10.5" customHeight="1">
      <c r="A189" s="85"/>
    </row>
    <row r="190" spans="1:1" s="37" customFormat="1" ht="10.5" customHeight="1">
      <c r="A190" s="85"/>
    </row>
    <row r="191" spans="1:1" s="37" customFormat="1" ht="10.5" customHeight="1">
      <c r="A191" s="85"/>
    </row>
    <row r="192" spans="1:1" s="37" customFormat="1" ht="10.5" customHeight="1">
      <c r="A192" s="85"/>
    </row>
    <row r="193" spans="1:1" s="37" customFormat="1" ht="10.5" customHeight="1">
      <c r="A193" s="85"/>
    </row>
    <row r="194" spans="1:1" s="37" customFormat="1" ht="10.5" customHeight="1">
      <c r="A194" s="85"/>
    </row>
    <row r="195" spans="1:1" s="37" customFormat="1" ht="10.5" customHeight="1">
      <c r="A195" s="85"/>
    </row>
    <row r="196" spans="1:1" s="37" customFormat="1" ht="10.5" customHeight="1">
      <c r="A196" s="85"/>
    </row>
    <row r="197" spans="1:1" s="37" customFormat="1" ht="10.5" customHeight="1">
      <c r="A197" s="85"/>
    </row>
    <row r="198" spans="1:1" s="37" customFormat="1" ht="10.5" customHeight="1">
      <c r="A198" s="85"/>
    </row>
    <row r="199" spans="1:1" s="37" customFormat="1" ht="10.5" customHeight="1">
      <c r="A199" s="85"/>
    </row>
    <row r="200" spans="1:1" s="37" customFormat="1" ht="10.5" customHeight="1">
      <c r="A200" s="85"/>
    </row>
    <row r="201" spans="1:1" s="37" customFormat="1" ht="10.5" customHeight="1">
      <c r="A201" s="85"/>
    </row>
    <row r="202" spans="1:1" s="37" customFormat="1" ht="10.5" customHeight="1">
      <c r="A202" s="85"/>
    </row>
    <row r="203" spans="1:1" s="37" customFormat="1" ht="10.5" customHeight="1">
      <c r="A203" s="85"/>
    </row>
    <row r="204" spans="1:1" s="37" customFormat="1" ht="10.5" customHeight="1">
      <c r="A204" s="85"/>
    </row>
    <row r="205" spans="1:1" s="37" customFormat="1" ht="10.5" customHeight="1">
      <c r="A205" s="85"/>
    </row>
    <row r="206" spans="1:1" s="37" customFormat="1" ht="10.5" customHeight="1">
      <c r="A206" s="85"/>
    </row>
    <row r="207" spans="1:1" s="37" customFormat="1" ht="10.5" customHeight="1">
      <c r="A207" s="85"/>
    </row>
    <row r="208" spans="1:1" s="37" customFormat="1" ht="10.5" customHeight="1">
      <c r="A208" s="85"/>
    </row>
    <row r="209" spans="1:1" s="37" customFormat="1" ht="10.5" customHeight="1">
      <c r="A209" s="85"/>
    </row>
    <row r="210" spans="1:1" s="37" customFormat="1" ht="10.5" customHeight="1">
      <c r="A210" s="85"/>
    </row>
    <row r="211" spans="1:1" s="37" customFormat="1" ht="10.5" customHeight="1">
      <c r="A211" s="85"/>
    </row>
    <row r="212" spans="1:1" s="37" customFormat="1" ht="10.5" customHeight="1">
      <c r="A212" s="85"/>
    </row>
    <row r="213" spans="1:1" s="37" customFormat="1" ht="10.5" customHeight="1">
      <c r="A213" s="85"/>
    </row>
    <row r="214" spans="1:1" s="37" customFormat="1" ht="10.5" customHeight="1">
      <c r="A214" s="85"/>
    </row>
    <row r="215" spans="1:1" s="37" customFormat="1" ht="10.5" customHeight="1">
      <c r="A215" s="85"/>
    </row>
    <row r="216" spans="1:1" s="37" customFormat="1" ht="10.5" customHeight="1">
      <c r="A216" s="85"/>
    </row>
    <row r="217" spans="1:1" s="37" customFormat="1" ht="10.5" customHeight="1">
      <c r="A217" s="85"/>
    </row>
    <row r="218" spans="1:1" s="37" customFormat="1" ht="10.5" customHeight="1">
      <c r="A218" s="85"/>
    </row>
    <row r="219" spans="1:1" s="37" customFormat="1" ht="10.5" customHeight="1">
      <c r="A219" s="85"/>
    </row>
    <row r="220" spans="1:1" s="37" customFormat="1" ht="10.5" customHeight="1">
      <c r="A220" s="85"/>
    </row>
    <row r="221" spans="1:1" s="37" customFormat="1" ht="10.5" customHeight="1">
      <c r="A221" s="85"/>
    </row>
    <row r="222" spans="1:1" s="37" customFormat="1" ht="10.5" customHeight="1">
      <c r="A222" s="85"/>
    </row>
    <row r="223" spans="1:1" s="37" customFormat="1" ht="10.5" customHeight="1">
      <c r="A223" s="85"/>
    </row>
    <row r="224" spans="1:1" s="37" customFormat="1" ht="10.5" customHeight="1">
      <c r="A224" s="85"/>
    </row>
    <row r="225" spans="1:1" s="37" customFormat="1" ht="10.5" customHeight="1">
      <c r="A225" s="85"/>
    </row>
    <row r="226" spans="1:1" s="37" customFormat="1" ht="10.5" customHeight="1">
      <c r="A226" s="85"/>
    </row>
    <row r="227" spans="1:1" s="37" customFormat="1" ht="10.5" customHeight="1">
      <c r="A227" s="85"/>
    </row>
    <row r="228" spans="1:1" s="37" customFormat="1" ht="10.5" customHeight="1">
      <c r="A228" s="85"/>
    </row>
    <row r="229" spans="1:1" s="37" customFormat="1" ht="10.5" customHeight="1">
      <c r="A229" s="85"/>
    </row>
    <row r="230" spans="1:1" s="37" customFormat="1" ht="10.5" customHeight="1">
      <c r="A230" s="85"/>
    </row>
    <row r="231" spans="1:1" s="37" customFormat="1" ht="10.5" customHeight="1">
      <c r="A231" s="85"/>
    </row>
    <row r="232" spans="1:1" s="37" customFormat="1" ht="10.5" customHeight="1">
      <c r="A232" s="85"/>
    </row>
    <row r="233" spans="1:1" s="37" customFormat="1" ht="10.5" customHeight="1">
      <c r="A233" s="85"/>
    </row>
    <row r="234" spans="1:1" s="37" customFormat="1" ht="10.5" customHeight="1">
      <c r="A234" s="85"/>
    </row>
    <row r="235" spans="1:1" s="37" customFormat="1" ht="10.5" customHeight="1">
      <c r="A235" s="85"/>
    </row>
    <row r="236" spans="1:1" s="37" customFormat="1" ht="10.5" customHeight="1">
      <c r="A236" s="85"/>
    </row>
    <row r="237" spans="1:1" s="37" customFormat="1" ht="10.5" customHeight="1">
      <c r="A237" s="85"/>
    </row>
    <row r="238" spans="1:1" s="37" customFormat="1" ht="10.5" customHeight="1">
      <c r="A238" s="85"/>
    </row>
    <row r="239" spans="1:1" s="37" customFormat="1" ht="10.5" customHeight="1">
      <c r="A239" s="85"/>
    </row>
    <row r="240" spans="1:1" s="37" customFormat="1" ht="10.5" customHeight="1">
      <c r="A240" s="85"/>
    </row>
    <row r="241" spans="1:1" s="37" customFormat="1" ht="10.5" customHeight="1">
      <c r="A241" s="85"/>
    </row>
    <row r="242" spans="1:1" s="37" customFormat="1" ht="10.5" customHeight="1">
      <c r="A242" s="85"/>
    </row>
    <row r="243" spans="1:1" s="37" customFormat="1" ht="10.5" customHeight="1">
      <c r="A243" s="85"/>
    </row>
    <row r="244" spans="1:1" s="37" customFormat="1" ht="10.5" customHeight="1">
      <c r="A244" s="85"/>
    </row>
    <row r="245" spans="1:1" s="37" customFormat="1" ht="10.5" customHeight="1">
      <c r="A245" s="85"/>
    </row>
    <row r="246" spans="1:1" s="37" customFormat="1" ht="10.5" customHeight="1">
      <c r="A246" s="85"/>
    </row>
    <row r="247" spans="1:1" s="37" customFormat="1" ht="10.5" customHeight="1">
      <c r="A247" s="85"/>
    </row>
    <row r="248" spans="1:1" s="37" customFormat="1" ht="10.5" customHeight="1">
      <c r="A248" s="85"/>
    </row>
    <row r="249" spans="1:1" s="37" customFormat="1" ht="10.5" customHeight="1">
      <c r="A249" s="85"/>
    </row>
    <row r="250" spans="1:1" s="37" customFormat="1" ht="10.5" customHeight="1">
      <c r="A250" s="85"/>
    </row>
    <row r="251" spans="1:1" s="37" customFormat="1" ht="10.5" customHeight="1">
      <c r="A251" s="85"/>
    </row>
    <row r="252" spans="1:1" s="37" customFormat="1" ht="10.5" customHeight="1">
      <c r="A252" s="85"/>
    </row>
    <row r="253" spans="1:1" s="37" customFormat="1" ht="10.5" customHeight="1">
      <c r="A253" s="85"/>
    </row>
    <row r="254" spans="1:1" s="37" customFormat="1" ht="10.5" customHeight="1">
      <c r="A254" s="85"/>
    </row>
    <row r="255" spans="1:1" s="37" customFormat="1" ht="10.5" customHeight="1">
      <c r="A255" s="85"/>
    </row>
    <row r="256" spans="1:1" s="37" customFormat="1" ht="10.5" customHeight="1">
      <c r="A256" s="85"/>
    </row>
    <row r="257" spans="1:1" s="37" customFormat="1" ht="10.5" customHeight="1">
      <c r="A257" s="85"/>
    </row>
    <row r="258" spans="1:1" s="37" customFormat="1" ht="10.5" customHeight="1">
      <c r="A258" s="85"/>
    </row>
    <row r="259" spans="1:1" s="37" customFormat="1" ht="10.5" customHeight="1">
      <c r="A259" s="85"/>
    </row>
    <row r="260" spans="1:1" s="37" customFormat="1" ht="10.5" customHeight="1">
      <c r="A260" s="85"/>
    </row>
    <row r="261" spans="1:1" s="37" customFormat="1" ht="10.5" customHeight="1">
      <c r="A261" s="85"/>
    </row>
    <row r="262" spans="1:1" s="37" customFormat="1" ht="10.5" customHeight="1">
      <c r="A262" s="85"/>
    </row>
    <row r="263" spans="1:1" s="37" customFormat="1" ht="10.5" customHeight="1">
      <c r="A263" s="85"/>
    </row>
    <row r="264" spans="1:1" s="37" customFormat="1" ht="10.5" customHeight="1">
      <c r="A264" s="85"/>
    </row>
    <row r="265" spans="1:1" s="37" customFormat="1" ht="10.5" customHeight="1">
      <c r="A265" s="85"/>
    </row>
    <row r="266" spans="1:1" s="37" customFormat="1" ht="10.5" customHeight="1">
      <c r="A266" s="85"/>
    </row>
    <row r="267" spans="1:1" s="37" customFormat="1" ht="10.5" customHeight="1">
      <c r="A267" s="85"/>
    </row>
    <row r="268" spans="1:1" s="37" customFormat="1" ht="10.5" customHeight="1">
      <c r="A268" s="85"/>
    </row>
    <row r="269" spans="1:1" s="37" customFormat="1" ht="10.5" customHeight="1">
      <c r="A269" s="85"/>
    </row>
    <row r="270" spans="1:1" s="37" customFormat="1" ht="10.5" customHeight="1">
      <c r="A270" s="85"/>
    </row>
    <row r="271" spans="1:1" s="37" customFormat="1" ht="10.5" customHeight="1">
      <c r="A271" s="85"/>
    </row>
    <row r="272" spans="1:1" s="37" customFormat="1" ht="10.5" customHeight="1">
      <c r="A272" s="85"/>
    </row>
    <row r="273" spans="1:1" s="37" customFormat="1" ht="10.5" customHeight="1">
      <c r="A273" s="85"/>
    </row>
    <row r="274" spans="1:1" s="37" customFormat="1" ht="10.5" customHeight="1">
      <c r="A274" s="85"/>
    </row>
    <row r="275" spans="1:1" s="37" customFormat="1" ht="10.5" customHeight="1">
      <c r="A275" s="85"/>
    </row>
    <row r="276" spans="1:1" s="37" customFormat="1" ht="10.5" customHeight="1">
      <c r="A276" s="85"/>
    </row>
    <row r="277" spans="1:1" s="37" customFormat="1" ht="10.5" customHeight="1">
      <c r="A277" s="85"/>
    </row>
    <row r="278" spans="1:1" s="37" customFormat="1" ht="10.5" customHeight="1">
      <c r="A278" s="85"/>
    </row>
    <row r="279" spans="1:1" s="37" customFormat="1" ht="10.5" customHeight="1">
      <c r="A279" s="85"/>
    </row>
    <row r="280" spans="1:1" s="37" customFormat="1" ht="10.5" customHeight="1">
      <c r="A280" s="85"/>
    </row>
    <row r="281" spans="1:1" s="37" customFormat="1" ht="10.5" customHeight="1">
      <c r="A281" s="85"/>
    </row>
    <row r="282" spans="1:1" s="37" customFormat="1" ht="10.5" customHeight="1">
      <c r="A282" s="85"/>
    </row>
    <row r="283" spans="1:1" s="37" customFormat="1" ht="10.5" customHeight="1">
      <c r="A283" s="85"/>
    </row>
    <row r="284" spans="1:1" s="37" customFormat="1" ht="10.5" customHeight="1">
      <c r="A284" s="85"/>
    </row>
    <row r="285" spans="1:1" s="37" customFormat="1" ht="10.5" customHeight="1">
      <c r="A285" s="85"/>
    </row>
    <row r="286" spans="1:1" s="37" customFormat="1" ht="10.5" customHeight="1">
      <c r="A286" s="85"/>
    </row>
    <row r="287" spans="1:1" s="37" customFormat="1" ht="10.5" customHeight="1">
      <c r="A287" s="85"/>
    </row>
    <row r="288" spans="1:1" s="37" customFormat="1" ht="10.5" customHeight="1">
      <c r="A288" s="85"/>
    </row>
    <row r="289" spans="1:1" s="37" customFormat="1" ht="10.5" customHeight="1">
      <c r="A289" s="85"/>
    </row>
    <row r="290" spans="1:1" s="37" customFormat="1" ht="10.5" customHeight="1">
      <c r="A290" s="85"/>
    </row>
    <row r="291" spans="1:1" s="37" customFormat="1" ht="10.5" customHeight="1">
      <c r="A291" s="85"/>
    </row>
    <row r="292" spans="1:1" s="37" customFormat="1" ht="10.5" customHeight="1">
      <c r="A292" s="85"/>
    </row>
    <row r="293" spans="1:1" s="37" customFormat="1" ht="10.5" customHeight="1">
      <c r="A293" s="85"/>
    </row>
    <row r="294" spans="1:1" s="37" customFormat="1" ht="10.5" customHeight="1">
      <c r="A294" s="85"/>
    </row>
    <row r="295" spans="1:1" s="37" customFormat="1" ht="10.5" customHeight="1">
      <c r="A295" s="85"/>
    </row>
    <row r="296" spans="1:1" s="37" customFormat="1" ht="10.5" customHeight="1">
      <c r="A296" s="85"/>
    </row>
    <row r="297" spans="1:1" s="37" customFormat="1" ht="10.5" customHeight="1">
      <c r="A297" s="85"/>
    </row>
    <row r="298" spans="1:1" s="37" customFormat="1" ht="10.5" customHeight="1">
      <c r="A298" s="85"/>
    </row>
    <row r="299" spans="1:1" s="37" customFormat="1" ht="10.5" customHeight="1">
      <c r="A299" s="85"/>
    </row>
    <row r="300" spans="1:1" s="37" customFormat="1" ht="10.5" customHeight="1">
      <c r="A300" s="85"/>
    </row>
    <row r="301" spans="1:1" s="37" customFormat="1" ht="10.5" customHeight="1">
      <c r="A301" s="85"/>
    </row>
    <row r="302" spans="1:1" s="37" customFormat="1" ht="10.5" customHeight="1">
      <c r="A302" s="85"/>
    </row>
    <row r="303" spans="1:1" s="37" customFormat="1" ht="10.5" customHeight="1">
      <c r="A303" s="85"/>
    </row>
    <row r="304" spans="1:1" s="37" customFormat="1" ht="10.5" customHeight="1">
      <c r="A304" s="85"/>
    </row>
    <row r="305" spans="1:1" s="37" customFormat="1" ht="10.5" customHeight="1">
      <c r="A305" s="85"/>
    </row>
    <row r="306" spans="1:1" s="37" customFormat="1" ht="10.5" customHeight="1">
      <c r="A306" s="85"/>
    </row>
    <row r="307" spans="1:1" s="37" customFormat="1" ht="10.5" customHeight="1">
      <c r="A307" s="85"/>
    </row>
    <row r="308" spans="1:1" s="37" customFormat="1" ht="10.5" customHeight="1">
      <c r="A308" s="85"/>
    </row>
    <row r="309" spans="1:1" s="37" customFormat="1" ht="10.5" customHeight="1">
      <c r="A309" s="85"/>
    </row>
    <row r="310" spans="1:1" s="37" customFormat="1" ht="10.5" customHeight="1">
      <c r="A310" s="85"/>
    </row>
    <row r="311" spans="1:1" s="37" customFormat="1" ht="10.5" customHeight="1">
      <c r="A311" s="85"/>
    </row>
    <row r="312" spans="1:1" s="37" customFormat="1" ht="10.5" customHeight="1">
      <c r="A312" s="85"/>
    </row>
    <row r="313" spans="1:1" s="37" customFormat="1" ht="10.5" customHeight="1">
      <c r="A313" s="85"/>
    </row>
    <row r="314" spans="1:1" s="37" customFormat="1" ht="10.5" customHeight="1">
      <c r="A314" s="85"/>
    </row>
    <row r="315" spans="1:1" s="37" customFormat="1" ht="10.5" customHeight="1">
      <c r="A315" s="85"/>
    </row>
    <row r="316" spans="1:1" s="37" customFormat="1" ht="10.5" customHeight="1">
      <c r="A316" s="85"/>
    </row>
    <row r="317" spans="1:1" s="37" customFormat="1" ht="10.5" customHeight="1">
      <c r="A317" s="85"/>
    </row>
    <row r="318" spans="1:1" s="37" customFormat="1" ht="10.5" customHeight="1">
      <c r="A318" s="85"/>
    </row>
    <row r="319" spans="1:1" s="37" customFormat="1" ht="10.5" customHeight="1">
      <c r="A319" s="85"/>
    </row>
    <row r="320" spans="1:1" s="37" customFormat="1" ht="10.5" customHeight="1">
      <c r="A320" s="85"/>
    </row>
    <row r="321" spans="1:1" s="37" customFormat="1" ht="10.5" customHeight="1">
      <c r="A321" s="85"/>
    </row>
    <row r="322" spans="1:1" s="37" customFormat="1" ht="10.5" customHeight="1">
      <c r="A322" s="85"/>
    </row>
    <row r="323" spans="1:1" s="37" customFormat="1" ht="10.5" customHeight="1">
      <c r="A323" s="85"/>
    </row>
    <row r="324" spans="1:1" s="37" customFormat="1" ht="10.5" customHeight="1">
      <c r="A324" s="85"/>
    </row>
    <row r="325" spans="1:1" s="37" customFormat="1" ht="10.5" customHeight="1">
      <c r="A325" s="85"/>
    </row>
    <row r="326" spans="1:1" s="37" customFormat="1" ht="10.5" customHeight="1">
      <c r="A326" s="85"/>
    </row>
    <row r="327" spans="1:1" s="37" customFormat="1" ht="10.5" customHeight="1">
      <c r="A327" s="85"/>
    </row>
    <row r="328" spans="1:1" s="37" customFormat="1" ht="10.5" customHeight="1">
      <c r="A328" s="85"/>
    </row>
    <row r="329" spans="1:1" s="37" customFormat="1" ht="10.5" customHeight="1">
      <c r="A329" s="85"/>
    </row>
    <row r="330" spans="1:1" s="37" customFormat="1" ht="10.5" customHeight="1">
      <c r="A330" s="85"/>
    </row>
    <row r="331" spans="1:1" s="37" customFormat="1" ht="10.5" customHeight="1">
      <c r="A331" s="85"/>
    </row>
    <row r="332" spans="1:1" s="37" customFormat="1" ht="10.5" customHeight="1">
      <c r="A332" s="85"/>
    </row>
    <row r="333" spans="1:1" s="37" customFormat="1" ht="10.5" customHeight="1">
      <c r="A333" s="85"/>
    </row>
    <row r="334" spans="1:1" s="37" customFormat="1" ht="10.5" customHeight="1">
      <c r="A334" s="85"/>
    </row>
    <row r="335" spans="1:1" s="37" customFormat="1" ht="10.5" customHeight="1">
      <c r="A335" s="85"/>
    </row>
    <row r="336" spans="1:1" s="37" customFormat="1" ht="10.5" customHeight="1">
      <c r="A336" s="85"/>
    </row>
    <row r="337" spans="1:1" s="37" customFormat="1" ht="10.5" customHeight="1">
      <c r="A337" s="85"/>
    </row>
    <row r="338" spans="1:1" s="37" customFormat="1" ht="10.5" customHeight="1">
      <c r="A338" s="85"/>
    </row>
    <row r="339" spans="1:1" s="37" customFormat="1" ht="10.5" customHeight="1">
      <c r="A339" s="85"/>
    </row>
    <row r="340" spans="1:1" s="37" customFormat="1" ht="10.5" customHeight="1">
      <c r="A340" s="85"/>
    </row>
    <row r="341" spans="1:1" s="37" customFormat="1" ht="10.5" customHeight="1">
      <c r="A341" s="85"/>
    </row>
    <row r="342" spans="1:1" s="37" customFormat="1" ht="10.5" customHeight="1">
      <c r="A342" s="85"/>
    </row>
    <row r="343" spans="1:1" s="37" customFormat="1" ht="10.5" customHeight="1">
      <c r="A343" s="85"/>
    </row>
    <row r="344" spans="1:1" s="37" customFormat="1" ht="10.5" customHeight="1">
      <c r="A344" s="85"/>
    </row>
    <row r="345" spans="1:1" s="37" customFormat="1" ht="10.5" customHeight="1">
      <c r="A345" s="85"/>
    </row>
    <row r="346" spans="1:1" s="37" customFormat="1" ht="10.5" customHeight="1">
      <c r="A346" s="85"/>
    </row>
    <row r="347" spans="1:1" s="37" customFormat="1" ht="10.5" customHeight="1">
      <c r="A347" s="85"/>
    </row>
    <row r="348" spans="1:1" s="37" customFormat="1" ht="10.5" customHeight="1">
      <c r="A348" s="85"/>
    </row>
    <row r="349" spans="1:1" s="37" customFormat="1" ht="10.5" customHeight="1">
      <c r="A349" s="85"/>
    </row>
    <row r="350" spans="1:1" s="37" customFormat="1" ht="10.5" customHeight="1">
      <c r="A350" s="85"/>
    </row>
    <row r="351" spans="1:1" s="37" customFormat="1" ht="10.5" customHeight="1">
      <c r="A351" s="85"/>
    </row>
    <row r="352" spans="1:1" s="37" customFormat="1" ht="10.5" customHeight="1">
      <c r="A352" s="85"/>
    </row>
    <row r="353" spans="1:1" s="37" customFormat="1" ht="10.5" customHeight="1">
      <c r="A353" s="85"/>
    </row>
    <row r="354" spans="1:1" s="37" customFormat="1" ht="10.5" customHeight="1">
      <c r="A354" s="85"/>
    </row>
    <row r="355" spans="1:1" s="37" customFormat="1" ht="10.5" customHeight="1">
      <c r="A355" s="85"/>
    </row>
    <row r="356" spans="1:1" s="37" customFormat="1" ht="10.5" customHeight="1">
      <c r="A356" s="85"/>
    </row>
    <row r="357" spans="1:1" s="37" customFormat="1" ht="10.5" customHeight="1">
      <c r="A357" s="85"/>
    </row>
    <row r="358" spans="1:1" s="37" customFormat="1" ht="10.5" customHeight="1">
      <c r="A358" s="85"/>
    </row>
    <row r="359" spans="1:1" s="37" customFormat="1" ht="10.5" customHeight="1">
      <c r="A359" s="85"/>
    </row>
    <row r="360" spans="1:1" s="37" customFormat="1" ht="10.5" customHeight="1">
      <c r="A360" s="85"/>
    </row>
    <row r="361" spans="1:1" s="37" customFormat="1" ht="10.5" customHeight="1">
      <c r="A361" s="85"/>
    </row>
    <row r="362" spans="1:1" s="37" customFormat="1" ht="10.5" customHeight="1">
      <c r="A362" s="85"/>
    </row>
    <row r="363" spans="1:1" s="37" customFormat="1" ht="10.5" customHeight="1">
      <c r="A363" s="85"/>
    </row>
    <row r="364" spans="1:1" s="37" customFormat="1" ht="10.5" customHeight="1">
      <c r="A364" s="85"/>
    </row>
    <row r="365" spans="1:1" s="37" customFormat="1" ht="10.5" customHeight="1">
      <c r="A365" s="85"/>
    </row>
    <row r="366" spans="1:1" s="37" customFormat="1" ht="10.5" customHeight="1">
      <c r="A366" s="85"/>
    </row>
    <row r="367" spans="1:1" s="37" customFormat="1" ht="10.5" customHeight="1">
      <c r="A367" s="85"/>
    </row>
    <row r="368" spans="1:1" s="37" customFormat="1" ht="10.5" customHeight="1">
      <c r="A368" s="85"/>
    </row>
    <row r="369" spans="1:1" s="37" customFormat="1" ht="10.5" customHeight="1">
      <c r="A369" s="85"/>
    </row>
    <row r="370" spans="1:1" s="37" customFormat="1" ht="10.5" customHeight="1">
      <c r="A370" s="85"/>
    </row>
    <row r="371" spans="1:1" s="37" customFormat="1" ht="10.5" customHeight="1">
      <c r="A371" s="85"/>
    </row>
    <row r="372" spans="1:1" s="37" customFormat="1" ht="10.5" customHeight="1">
      <c r="A372" s="85"/>
    </row>
    <row r="373" spans="1:1" s="37" customFormat="1" ht="10.5" customHeight="1">
      <c r="A373" s="85"/>
    </row>
    <row r="374" spans="1:1" s="37" customFormat="1" ht="10.5" customHeight="1">
      <c r="A374" s="85"/>
    </row>
    <row r="375" spans="1:1" s="37" customFormat="1" ht="10.5" customHeight="1">
      <c r="A375" s="85"/>
    </row>
    <row r="376" spans="1:1" s="37" customFormat="1" ht="10.5" customHeight="1">
      <c r="A376" s="85"/>
    </row>
    <row r="377" spans="1:1" s="37" customFormat="1" ht="10.5" customHeight="1">
      <c r="A377" s="85"/>
    </row>
    <row r="378" spans="1:1" s="37" customFormat="1" ht="10.5" customHeight="1">
      <c r="A378" s="85"/>
    </row>
    <row r="379" spans="1:1" s="37" customFormat="1" ht="10.5" customHeight="1">
      <c r="A379" s="85"/>
    </row>
    <row r="380" spans="1:1" s="37" customFormat="1" ht="10.5" customHeight="1">
      <c r="A380" s="85"/>
    </row>
    <row r="381" spans="1:1" s="37" customFormat="1" ht="10.5" customHeight="1">
      <c r="A381" s="85"/>
    </row>
    <row r="382" spans="1:1" s="37" customFormat="1" ht="10.5" customHeight="1">
      <c r="A382" s="85"/>
    </row>
    <row r="383" spans="1:1" s="37" customFormat="1" ht="10.5" customHeight="1">
      <c r="A383" s="85"/>
    </row>
    <row r="384" spans="1:1" s="37" customFormat="1" ht="10.5" customHeight="1">
      <c r="A384" s="85"/>
    </row>
    <row r="385" spans="1:1" s="37" customFormat="1" ht="10.5" customHeight="1">
      <c r="A385" s="85"/>
    </row>
    <row r="386" spans="1:1" s="37" customFormat="1" ht="10.5" customHeight="1">
      <c r="A386" s="85"/>
    </row>
    <row r="387" spans="1:1" s="37" customFormat="1" ht="10.5" customHeight="1">
      <c r="A387" s="85"/>
    </row>
    <row r="388" spans="1:1" s="37" customFormat="1" ht="10.5" customHeight="1">
      <c r="A388" s="85"/>
    </row>
    <row r="389" spans="1:1" s="37" customFormat="1" ht="10.5" customHeight="1">
      <c r="A389" s="85"/>
    </row>
    <row r="390" spans="1:1" s="37" customFormat="1" ht="10.5" customHeight="1">
      <c r="A390" s="85"/>
    </row>
    <row r="391" spans="1:1" s="37" customFormat="1" ht="10.5" customHeight="1">
      <c r="A391" s="85"/>
    </row>
    <row r="392" spans="1:1" s="37" customFormat="1" ht="10.5" customHeight="1">
      <c r="A392" s="85"/>
    </row>
    <row r="393" spans="1:1" s="37" customFormat="1" ht="10.5" customHeight="1">
      <c r="A393" s="85"/>
    </row>
    <row r="394" spans="1:1" s="37" customFormat="1" ht="10.5" customHeight="1">
      <c r="A394" s="85"/>
    </row>
    <row r="395" spans="1:1" s="37" customFormat="1" ht="10.5" customHeight="1">
      <c r="A395" s="85"/>
    </row>
    <row r="396" spans="1:1" s="37" customFormat="1" ht="10.5" customHeight="1">
      <c r="A396" s="85"/>
    </row>
    <row r="397" spans="1:1" s="37" customFormat="1" ht="10.5" customHeight="1">
      <c r="A397" s="85"/>
    </row>
    <row r="398" spans="1:1" s="37" customFormat="1" ht="10.5" customHeight="1">
      <c r="A398" s="85"/>
    </row>
    <row r="399" spans="1:1" s="37" customFormat="1" ht="10.5" customHeight="1">
      <c r="A399" s="85"/>
    </row>
    <row r="400" spans="1:1" s="37" customFormat="1" ht="10.5" customHeight="1">
      <c r="A400" s="85"/>
    </row>
    <row r="401" spans="1:1" s="37" customFormat="1" ht="10.5" customHeight="1">
      <c r="A401" s="85"/>
    </row>
    <row r="402" spans="1:1" s="37" customFormat="1" ht="10.5" customHeight="1">
      <c r="A402" s="85"/>
    </row>
    <row r="403" spans="1:1" s="37" customFormat="1" ht="10.5" customHeight="1">
      <c r="A403" s="85"/>
    </row>
    <row r="404" spans="1:1" s="37" customFormat="1" ht="10.5" customHeight="1">
      <c r="A404" s="85"/>
    </row>
    <row r="405" spans="1:1" s="37" customFormat="1" ht="10.5" customHeight="1">
      <c r="A405" s="85"/>
    </row>
    <row r="406" spans="1:1" s="37" customFormat="1" ht="10.5" customHeight="1">
      <c r="A406" s="85"/>
    </row>
    <row r="407" spans="1:1" s="37" customFormat="1" ht="10.5" customHeight="1">
      <c r="A407" s="85"/>
    </row>
    <row r="408" spans="1:1" s="37" customFormat="1" ht="10.5" customHeight="1">
      <c r="A408" s="85"/>
    </row>
    <row r="409" spans="1:1" s="37" customFormat="1" ht="10.5" customHeight="1">
      <c r="A409" s="85"/>
    </row>
    <row r="410" spans="1:1" s="37" customFormat="1" ht="10.5" customHeight="1">
      <c r="A410" s="85"/>
    </row>
    <row r="411" spans="1:1" s="37" customFormat="1" ht="10.5" customHeight="1">
      <c r="A411" s="85"/>
    </row>
    <row r="412" spans="1:1" s="37" customFormat="1" ht="10.5" customHeight="1">
      <c r="A412" s="85"/>
    </row>
    <row r="413" spans="1:1" s="37" customFormat="1" ht="10.5" customHeight="1">
      <c r="A413" s="85"/>
    </row>
    <row r="414" spans="1:1" s="37" customFormat="1" ht="10.5" customHeight="1">
      <c r="A414" s="85"/>
    </row>
    <row r="415" spans="1:1" s="37" customFormat="1" ht="10.5" customHeight="1">
      <c r="A415" s="85"/>
    </row>
    <row r="416" spans="1:1" s="37" customFormat="1" ht="10.5" customHeight="1">
      <c r="A416" s="85"/>
    </row>
    <row r="417" spans="1:1" s="37" customFormat="1" ht="10.5" customHeight="1">
      <c r="A417" s="85"/>
    </row>
    <row r="418" spans="1:1" s="37" customFormat="1" ht="10.5" customHeight="1">
      <c r="A418" s="85"/>
    </row>
    <row r="419" spans="1:1" s="37" customFormat="1" ht="10.5" customHeight="1">
      <c r="A419" s="85"/>
    </row>
    <row r="420" spans="1:1" s="37" customFormat="1" ht="10.5" customHeight="1">
      <c r="A420" s="85"/>
    </row>
    <row r="421" spans="1:1" s="37" customFormat="1" ht="10.5" customHeight="1">
      <c r="A421" s="85"/>
    </row>
    <row r="422" spans="1:1" s="37" customFormat="1" ht="10.5" customHeight="1">
      <c r="A422" s="85"/>
    </row>
    <row r="423" spans="1:1" s="37" customFormat="1" ht="10.5" customHeight="1">
      <c r="A423" s="85"/>
    </row>
    <row r="424" spans="1:1" s="37" customFormat="1" ht="10.5" customHeight="1">
      <c r="A424" s="85"/>
    </row>
    <row r="425" spans="1:1" s="37" customFormat="1" ht="10.5" customHeight="1">
      <c r="A425" s="85"/>
    </row>
    <row r="426" spans="1:1" s="37" customFormat="1" ht="10.5" customHeight="1">
      <c r="A426" s="85"/>
    </row>
    <row r="427" spans="1:1" s="37" customFormat="1" ht="10.5" customHeight="1">
      <c r="A427" s="85"/>
    </row>
    <row r="428" spans="1:1" s="37" customFormat="1" ht="10.5" customHeight="1">
      <c r="A428" s="85"/>
    </row>
    <row r="429" spans="1:1" s="37" customFormat="1" ht="10.5" customHeight="1">
      <c r="A429" s="85"/>
    </row>
    <row r="430" spans="1:1" s="37" customFormat="1" ht="10.5" customHeight="1">
      <c r="A430" s="85"/>
    </row>
    <row r="431" spans="1:1" s="37" customFormat="1" ht="10.5" customHeight="1">
      <c r="A431" s="85"/>
    </row>
    <row r="432" spans="1:1" s="37" customFormat="1" ht="10.5" customHeight="1">
      <c r="A432" s="85"/>
    </row>
    <row r="433" spans="1:1" s="37" customFormat="1" ht="10.5" customHeight="1">
      <c r="A433" s="85"/>
    </row>
    <row r="434" spans="1:1" s="37" customFormat="1" ht="10.5" customHeight="1">
      <c r="A434" s="85"/>
    </row>
    <row r="435" spans="1:1" s="37" customFormat="1" ht="10.5" customHeight="1">
      <c r="A435" s="85"/>
    </row>
    <row r="436" spans="1:1" s="37" customFormat="1" ht="10.5" customHeight="1">
      <c r="A436" s="85"/>
    </row>
    <row r="437" spans="1:1" s="37" customFormat="1" ht="10.5" customHeight="1">
      <c r="A437" s="85"/>
    </row>
    <row r="438" spans="1:1" s="37" customFormat="1" ht="10.5" customHeight="1">
      <c r="A438" s="85"/>
    </row>
    <row r="439" spans="1:1" s="37" customFormat="1" ht="10.5" customHeight="1">
      <c r="A439" s="85"/>
    </row>
    <row r="440" spans="1:1" s="37" customFormat="1" ht="10.5" customHeight="1">
      <c r="A440" s="85"/>
    </row>
    <row r="441" spans="1:1" s="37" customFormat="1" ht="10.5" customHeight="1">
      <c r="A441" s="85"/>
    </row>
    <row r="442" spans="1:1" s="37" customFormat="1" ht="10.5" customHeight="1">
      <c r="A442" s="85"/>
    </row>
    <row r="443" spans="1:1" s="37" customFormat="1" ht="10.5" customHeight="1">
      <c r="A443" s="85"/>
    </row>
    <row r="444" spans="1:1" s="37" customFormat="1" ht="10.5" customHeight="1">
      <c r="A444" s="85"/>
    </row>
    <row r="445" spans="1:1" s="37" customFormat="1" ht="10.5" customHeight="1">
      <c r="A445" s="85"/>
    </row>
    <row r="446" spans="1:1" s="37" customFormat="1" ht="10.5" customHeight="1">
      <c r="A446" s="85"/>
    </row>
    <row r="447" spans="1:1" s="37" customFormat="1" ht="10.5" customHeight="1">
      <c r="A447" s="85"/>
    </row>
    <row r="448" spans="1:1" s="37" customFormat="1" ht="10.5" customHeight="1">
      <c r="A448" s="85"/>
    </row>
    <row r="449" spans="1:1" s="37" customFormat="1" ht="10.5" customHeight="1">
      <c r="A449" s="85"/>
    </row>
    <row r="450" spans="1:1" s="37" customFormat="1" ht="10.5" customHeight="1">
      <c r="A450" s="85"/>
    </row>
    <row r="451" spans="1:1" s="37" customFormat="1" ht="10.5" customHeight="1">
      <c r="A451" s="85"/>
    </row>
    <row r="452" spans="1:1" s="37" customFormat="1" ht="10.5" customHeight="1">
      <c r="A452" s="85"/>
    </row>
    <row r="453" spans="1:1" s="37" customFormat="1" ht="10.5" customHeight="1">
      <c r="A453" s="85"/>
    </row>
    <row r="454" spans="1:1" s="37" customFormat="1" ht="10.5" customHeight="1">
      <c r="A454" s="85"/>
    </row>
    <row r="455" spans="1:1" s="37" customFormat="1" ht="10.5" customHeight="1">
      <c r="A455" s="85"/>
    </row>
    <row r="456" spans="1:1" s="37" customFormat="1" ht="10.5" customHeight="1">
      <c r="A456" s="85"/>
    </row>
    <row r="457" spans="1:1" s="37" customFormat="1" ht="10.5" customHeight="1">
      <c r="A457" s="85"/>
    </row>
    <row r="458" spans="1:1" s="37" customFormat="1" ht="10.5" customHeight="1">
      <c r="A458" s="85"/>
    </row>
    <row r="459" spans="1:1" s="37" customFormat="1" ht="10.5" customHeight="1">
      <c r="A459" s="85"/>
    </row>
    <row r="460" spans="1:1" s="37" customFormat="1" ht="10.5" customHeight="1">
      <c r="A460" s="85"/>
    </row>
    <row r="461" spans="1:1" s="37" customFormat="1" ht="10.5" customHeight="1">
      <c r="A461" s="85"/>
    </row>
    <row r="462" spans="1:1" s="37" customFormat="1" ht="10.5" customHeight="1">
      <c r="A462" s="85"/>
    </row>
    <row r="463" spans="1:1" s="37" customFormat="1" ht="10.5" customHeight="1">
      <c r="A463" s="85"/>
    </row>
    <row r="464" spans="1:1" s="37" customFormat="1" ht="10.5" customHeight="1">
      <c r="A464" s="85"/>
    </row>
    <row r="465" spans="1:1" s="37" customFormat="1" ht="10.5" customHeight="1">
      <c r="A465" s="85"/>
    </row>
    <row r="466" spans="1:1" s="37" customFormat="1" ht="10.5" customHeight="1">
      <c r="A466" s="85"/>
    </row>
    <row r="467" spans="1:1" s="37" customFormat="1" ht="10.5" customHeight="1">
      <c r="A467" s="85"/>
    </row>
    <row r="468" spans="1:1" s="37" customFormat="1" ht="10.5" customHeight="1">
      <c r="A468" s="85"/>
    </row>
    <row r="469" spans="1:1" s="37" customFormat="1" ht="10.5" customHeight="1">
      <c r="A469" s="85"/>
    </row>
    <row r="470" spans="1:1" s="37" customFormat="1" ht="10.5" customHeight="1">
      <c r="A470" s="85"/>
    </row>
    <row r="471" spans="1:1" s="37" customFormat="1" ht="10.5" customHeight="1">
      <c r="A471" s="85"/>
    </row>
    <row r="472" spans="1:1" s="37" customFormat="1" ht="10.5" customHeight="1">
      <c r="A472" s="85"/>
    </row>
    <row r="473" spans="1:1" s="37" customFormat="1" ht="10.5" customHeight="1">
      <c r="A473" s="85"/>
    </row>
    <row r="474" spans="1:1" s="37" customFormat="1" ht="10.5" customHeight="1">
      <c r="A474" s="85"/>
    </row>
    <row r="475" spans="1:1" s="37" customFormat="1" ht="10.5" customHeight="1">
      <c r="A475" s="85"/>
    </row>
    <row r="476" spans="1:1" s="37" customFormat="1" ht="10.5" customHeight="1">
      <c r="A476" s="85"/>
    </row>
    <row r="477" spans="1:1" s="37" customFormat="1" ht="10.5" customHeight="1">
      <c r="A477" s="85"/>
    </row>
    <row r="478" spans="1:1" s="37" customFormat="1" ht="10.5" customHeight="1">
      <c r="A478" s="85"/>
    </row>
    <row r="479" spans="1:1" s="37" customFormat="1" ht="10.5" customHeight="1">
      <c r="A479" s="85"/>
    </row>
    <row r="480" spans="1:1" s="37" customFormat="1" ht="10.5" customHeight="1">
      <c r="A480" s="85"/>
    </row>
    <row r="481" spans="1:1" s="37" customFormat="1" ht="10.5" customHeight="1">
      <c r="A481" s="85"/>
    </row>
    <row r="482" spans="1:1" s="37" customFormat="1" ht="10.5" customHeight="1">
      <c r="A482" s="85"/>
    </row>
    <row r="483" spans="1:1" s="37" customFormat="1" ht="10.5" customHeight="1">
      <c r="A483" s="85"/>
    </row>
    <row r="484" spans="1:1" s="37" customFormat="1" ht="10.5" customHeight="1">
      <c r="A484" s="85"/>
    </row>
    <row r="485" spans="1:1" s="37" customFormat="1" ht="10.5" customHeight="1">
      <c r="A485" s="85"/>
    </row>
    <row r="486" spans="1:1" s="37" customFormat="1" ht="10.5" customHeight="1">
      <c r="A486" s="85"/>
    </row>
    <row r="487" spans="1:1" s="37" customFormat="1" ht="10.5" customHeight="1">
      <c r="A487" s="85"/>
    </row>
    <row r="488" spans="1:1" s="37" customFormat="1" ht="10.5" customHeight="1">
      <c r="A488" s="85"/>
    </row>
    <row r="489" spans="1:1" s="37" customFormat="1" ht="10.5" customHeight="1">
      <c r="A489" s="85"/>
    </row>
    <row r="490" spans="1:1" s="37" customFormat="1" ht="10.5" customHeight="1">
      <c r="A490" s="85"/>
    </row>
    <row r="491" spans="1:1" s="37" customFormat="1" ht="10.5" customHeight="1">
      <c r="A491" s="85"/>
    </row>
    <row r="492" spans="1:1" s="37" customFormat="1" ht="10.5" customHeight="1">
      <c r="A492" s="85"/>
    </row>
    <row r="493" spans="1:1" s="37" customFormat="1" ht="10.5" customHeight="1">
      <c r="A493" s="85"/>
    </row>
    <row r="494" spans="1:1" s="37" customFormat="1" ht="10.5" customHeight="1">
      <c r="A494" s="85"/>
    </row>
    <row r="495" spans="1:1" s="37" customFormat="1" ht="10.5" customHeight="1">
      <c r="A495" s="85"/>
    </row>
    <row r="496" spans="1:1" s="37" customFormat="1" ht="10.5" customHeight="1">
      <c r="A496" s="85"/>
    </row>
    <row r="497" spans="1:1" s="37" customFormat="1" ht="10.5" customHeight="1">
      <c r="A497" s="85"/>
    </row>
    <row r="498" spans="1:1" s="37" customFormat="1" ht="10.5" customHeight="1">
      <c r="A498" s="85"/>
    </row>
    <row r="499" spans="1:1" s="37" customFormat="1" ht="10.5" customHeight="1">
      <c r="A499" s="85"/>
    </row>
    <row r="500" spans="1:1" s="37" customFormat="1" ht="10.5" customHeight="1">
      <c r="A500" s="85"/>
    </row>
    <row r="501" spans="1:1" s="37" customFormat="1" ht="10.5" customHeight="1">
      <c r="A501" s="85"/>
    </row>
    <row r="502" spans="1:1" s="37" customFormat="1" ht="10.5" customHeight="1">
      <c r="A502" s="85"/>
    </row>
    <row r="503" spans="1:1" s="37" customFormat="1" ht="10.5" customHeight="1">
      <c r="A503" s="85"/>
    </row>
    <row r="504" spans="1:1" s="37" customFormat="1" ht="10.5" customHeight="1">
      <c r="A504" s="85"/>
    </row>
    <row r="505" spans="1:1" s="37" customFormat="1" ht="10.5" customHeight="1">
      <c r="A505" s="85"/>
    </row>
    <row r="506" spans="1:1" s="37" customFormat="1" ht="10.5" customHeight="1">
      <c r="A506" s="85"/>
    </row>
    <row r="507" spans="1:1" s="37" customFormat="1" ht="10.5" customHeight="1">
      <c r="A507" s="85"/>
    </row>
    <row r="508" spans="1:1" s="37" customFormat="1" ht="10.5" customHeight="1">
      <c r="A508" s="85"/>
    </row>
    <row r="509" spans="1:1" s="37" customFormat="1" ht="10.5" customHeight="1">
      <c r="A509" s="85"/>
    </row>
    <row r="510" spans="1:1" s="37" customFormat="1" ht="10.5" customHeight="1">
      <c r="A510" s="85"/>
    </row>
    <row r="511" spans="1:1" s="37" customFormat="1" ht="10.5" customHeight="1">
      <c r="A511" s="85"/>
    </row>
    <row r="512" spans="1:1" s="37" customFormat="1" ht="10.5" customHeight="1">
      <c r="A512" s="85"/>
    </row>
    <row r="513" spans="1:1" s="37" customFormat="1" ht="10.5" customHeight="1">
      <c r="A513" s="85"/>
    </row>
    <row r="514" spans="1:1" s="37" customFormat="1" ht="10.5" customHeight="1">
      <c r="A514" s="85"/>
    </row>
    <row r="515" spans="1:1" s="37" customFormat="1" ht="10.5" customHeight="1">
      <c r="A515" s="85"/>
    </row>
    <row r="516" spans="1:1" s="37" customFormat="1" ht="10.5" customHeight="1">
      <c r="A516" s="85"/>
    </row>
    <row r="517" spans="1:1" s="37" customFormat="1" ht="10.5" customHeight="1">
      <c r="A517" s="85"/>
    </row>
    <row r="518" spans="1:1" s="37" customFormat="1" ht="10.5" customHeight="1">
      <c r="A518" s="85"/>
    </row>
    <row r="519" spans="1:1" s="37" customFormat="1" ht="10.5" customHeight="1">
      <c r="A519" s="85"/>
    </row>
    <row r="520" spans="1:1" s="37" customFormat="1" ht="10.5" customHeight="1">
      <c r="A520" s="85"/>
    </row>
    <row r="521" spans="1:1" s="37" customFormat="1" ht="10.5" customHeight="1">
      <c r="A521" s="85"/>
    </row>
    <row r="522" spans="1:1" s="37" customFormat="1" ht="10.5" customHeight="1">
      <c r="A522" s="85"/>
    </row>
    <row r="523" spans="1:1" s="37" customFormat="1" ht="10.5" customHeight="1">
      <c r="A523" s="85"/>
    </row>
    <row r="524" spans="1:1" s="37" customFormat="1" ht="10.5" customHeight="1">
      <c r="A524" s="85"/>
    </row>
    <row r="525" spans="1:1" s="37" customFormat="1" ht="10.5" customHeight="1">
      <c r="A525" s="85"/>
    </row>
    <row r="526" spans="1:1" s="37" customFormat="1" ht="10.5" customHeight="1">
      <c r="A526" s="85"/>
    </row>
    <row r="527" spans="1:1" s="37" customFormat="1" ht="10.5" customHeight="1">
      <c r="A527" s="85"/>
    </row>
    <row r="528" spans="1:1" s="37" customFormat="1" ht="10.5" customHeight="1">
      <c r="A528" s="85"/>
    </row>
    <row r="529" spans="1:33" s="37" customFormat="1" ht="10.5" customHeight="1">
      <c r="A529" s="85"/>
    </row>
    <row r="530" spans="1:33" s="37" customFormat="1" ht="10.5" customHeight="1">
      <c r="A530" s="85"/>
    </row>
    <row r="531" spans="1:33" s="37" customFormat="1" ht="10.5" customHeight="1">
      <c r="A531" s="85"/>
    </row>
    <row r="532" spans="1:33" s="37" customFormat="1" ht="10.5" customHeight="1">
      <c r="A532" s="85"/>
    </row>
    <row r="533" spans="1:33" ht="10.5" customHeight="1">
      <c r="A533" s="87"/>
      <c r="B533" s="12"/>
      <c r="C533" s="12"/>
      <c r="D533" s="12"/>
      <c r="E533" s="12"/>
      <c r="F533" s="12"/>
      <c r="G533" s="12"/>
      <c r="H533" s="12"/>
      <c r="I533" s="12"/>
      <c r="J533" s="12"/>
      <c r="K533" s="12"/>
      <c r="L533" s="12"/>
      <c r="M533" s="12"/>
      <c r="N533" s="12"/>
      <c r="O533" s="12"/>
      <c r="P533" s="12"/>
      <c r="Q533" s="12"/>
      <c r="R533" s="12"/>
      <c r="S533" s="12"/>
      <c r="T533" s="12"/>
      <c r="U533" s="12"/>
      <c r="V533" s="12"/>
      <c r="W533" s="12"/>
      <c r="X533" s="12"/>
      <c r="Y533" s="12"/>
      <c r="Z533" s="12"/>
      <c r="AA533" s="12"/>
      <c r="AB533" s="12"/>
      <c r="AC533" s="12"/>
      <c r="AD533" s="12"/>
      <c r="AE533" s="12"/>
      <c r="AF533" s="12"/>
      <c r="AG533" s="12"/>
    </row>
  </sheetData>
  <mergeCells count="12">
    <mergeCell ref="B119:B121"/>
    <mergeCell ref="A16:B16"/>
    <mergeCell ref="A7:B7"/>
    <mergeCell ref="A37:B37"/>
    <mergeCell ref="A47:B47"/>
    <mergeCell ref="A26:B26"/>
    <mergeCell ref="A57:B57"/>
    <mergeCell ref="A114:B114"/>
    <mergeCell ref="A68:B68"/>
    <mergeCell ref="A79:B79"/>
    <mergeCell ref="A91:B91"/>
    <mergeCell ref="A100:B10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Меню лето</vt:lpstr>
      <vt:lpstr>Сырьё лето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2020-10-23T13:06:37Z</dcterms:modified>
</cp:coreProperties>
</file>